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P:\_XTRF\2022\18101_18200\18170_VPVB\for client\"/>
    </mc:Choice>
  </mc:AlternateContent>
  <xr:revisionPtr revIDLastSave="0" documentId="13_ncr:1_{DD529D6C-27B2-40D4-8E0D-C75E5791D3E4}" xr6:coauthVersionLast="47" xr6:coauthVersionMax="47" xr10:uidLastSave="{00000000-0000-0000-0000-000000000000}"/>
  <bookViews>
    <workbookView xWindow="-108" yWindow="-108" windowWidth="23256" windowHeight="12576" tabRatio="874" activeTab="8" xr2:uid="{00000000-000D-0000-FFFF-FFFF00000000}"/>
  </bookViews>
  <sheets>
    <sheet name="Confirmation" sheetId="30" r:id="rId1"/>
    <sheet name="Product formulation" sheetId="12" r:id="rId2"/>
    <sheet name="Ingoing substances" sheetId="15" r:id="rId3"/>
    <sheet name="Rinse-off - DID" sheetId="17" r:id="rId4"/>
    <sheet name="Leave-on - DID" sheetId="26" r:id="rId5"/>
    <sheet name="Results 1&amp;2" sheetId="19" r:id="rId6"/>
    <sheet name="Results 3" sheetId="27" r:id="rId7"/>
    <sheet name="Results 5 Rinse-off" sheetId="25" r:id="rId8"/>
    <sheet name="Results 5 Leave-on" sheetId="32" r:id="rId9"/>
    <sheet name="Results 6" sheetId="24" r:id="rId10"/>
    <sheet name="Declaration-Rinse-off products" sheetId="21" r:id="rId11"/>
    <sheet name="Declaration-Leave-on products" sheetId="29" r:id="rId12"/>
    <sheet name="DID-list_Part A" sheetId="18" r:id="rId13"/>
    <sheet name="DID-list_Part B" sheetId="28" r:id="rId14"/>
    <sheet name="Hoja2" sheetId="13" r:id="rId15"/>
  </sheets>
  <definedNames>
    <definedName name="_xlnm._FilterDatabase" localSheetId="2" hidden="1">'Ingoing substances'!$B$8:$B$60</definedName>
    <definedName name="_xlnm._FilterDatabase" localSheetId="4" hidden="1">'Leave-on - DID'!$B$8:$B$59</definedName>
    <definedName name="_xlnm._FilterDatabase" localSheetId="1" hidden="1">'Product formulation'!$B$6:$B$38</definedName>
    <definedName name="_xlnm._FilterDatabase" localSheetId="5" hidden="1">'Results 1&amp;2'!$B$8:$B$62</definedName>
    <definedName name="_xlnm._FilterDatabase" localSheetId="6" hidden="1">'Results 3'!$B$8:$B$62</definedName>
    <definedName name="_xlnm._FilterDatabase" localSheetId="8" hidden="1">'Results 5 Leave-on'!#REF!</definedName>
    <definedName name="_xlnm._FilterDatabase" localSheetId="7" hidden="1">'Results 5 Rinse-off'!#REF!</definedName>
    <definedName name="_xlnm._FilterDatabase" localSheetId="9" hidden="1">'Results 6'!$B$8:$B$59</definedName>
    <definedName name="_xlnm._FilterDatabase" localSheetId="3" hidden="1">'Rinse-off - DID'!$B$8:$B$59</definedName>
    <definedName name="leave">Hoja2!$B$53:$B$60</definedName>
    <definedName name="rinse">Hoja2!$B$62:$B$67</definedName>
    <definedName name="Trade_name">'Product formulation'!$B$9:$B$37</definedName>
    <definedName name="Weight">'Product formulation'!$E$9:$E$37</definedName>
  </definedNames>
  <calcPr calcId="191029"/>
  <customWorkbookViews>
    <customWorkbookView name="VIDAL ABARCA GARRIDO Candela (JRC-SEVILLA) - Personal View" guid="{E0F1947B-DBB1-4302-8ABF-0F9B5D68BCD9}" mergeInterval="0" personalView="1" maximized="1" windowWidth="1916" windowHeight="694" tabRatio="859" activeSheetId="3" showComments="commIndAndComment"/>
    <customWorkbookView name="mrriera - Vista personalizada" guid="{B57AFC39-7BC2-4CBD-A0A8-87008E0DB765}" mergeInterval="0" personalView="1" maximized="1" xWindow="1" yWindow="1" windowWidth="1916" windowHeight="850" tabRatio="859" activeSheetId="4"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2" i="29" l="1"/>
  <c r="B49" i="25" l="1"/>
  <c r="E54" i="32" l="1"/>
  <c r="G67" i="32"/>
  <c r="G66" i="32"/>
  <c r="D51" i="32"/>
  <c r="B63" i="32"/>
  <c r="E51" i="32"/>
  <c r="C51" i="32"/>
  <c r="J32" i="32"/>
  <c r="H32" i="32"/>
  <c r="E32" i="32"/>
  <c r="C32" i="32"/>
  <c r="J31" i="32"/>
  <c r="H31" i="32"/>
  <c r="E31" i="32"/>
  <c r="C31" i="32"/>
  <c r="J24" i="32"/>
  <c r="J34" i="32" s="1"/>
  <c r="I24" i="32"/>
  <c r="H24" i="32"/>
  <c r="E24" i="32"/>
  <c r="D24" i="32"/>
  <c r="C24" i="32"/>
  <c r="L16" i="32"/>
  <c r="E10" i="32"/>
  <c r="G9" i="32"/>
  <c r="L19" i="25"/>
  <c r="G9" i="25"/>
  <c r="G13" i="25"/>
  <c r="I27" i="25"/>
  <c r="E33" i="32" l="1"/>
  <c r="E55" i="32"/>
  <c r="J36" i="32"/>
  <c r="J33" i="32"/>
  <c r="J37" i="32" s="1"/>
  <c r="J39" i="32" s="1"/>
  <c r="E36" i="32"/>
  <c r="E34" i="32"/>
  <c r="E71" i="32"/>
  <c r="E69" i="32"/>
  <c r="E73" i="32" s="1"/>
  <c r="D27" i="25"/>
  <c r="E11" i="25"/>
  <c r="G10" i="25"/>
  <c r="E57" i="32" l="1"/>
  <c r="E37" i="32"/>
  <c r="E39" i="32" s="1"/>
  <c r="S40" i="29" l="1"/>
  <c r="H12" i="24" l="1"/>
  <c r="H13" i="24"/>
  <c r="H14" i="24"/>
  <c r="H15" i="24"/>
  <c r="H16" i="24"/>
  <c r="H17" i="24"/>
  <c r="H18" i="24"/>
  <c r="H19" i="24"/>
  <c r="H20" i="24"/>
  <c r="H21" i="24"/>
  <c r="H22" i="24"/>
  <c r="H23" i="24"/>
  <c r="H24" i="24"/>
  <c r="H25" i="24"/>
  <c r="H26" i="24"/>
  <c r="H27" i="24"/>
  <c r="H28" i="24"/>
  <c r="H29" i="24"/>
  <c r="H30" i="24"/>
  <c r="H31" i="24"/>
  <c r="H32" i="24"/>
  <c r="H33" i="24"/>
  <c r="H34" i="24"/>
  <c r="H35" i="24"/>
  <c r="H36" i="24"/>
  <c r="H37" i="24"/>
  <c r="H38" i="24"/>
  <c r="H39" i="24"/>
  <c r="H40" i="24"/>
  <c r="H41" i="24"/>
  <c r="H42" i="24"/>
  <c r="H43" i="24"/>
  <c r="H44" i="24"/>
  <c r="H45" i="24"/>
  <c r="H46" i="24"/>
  <c r="H47" i="24"/>
  <c r="H48" i="24"/>
  <c r="H49" i="24"/>
  <c r="H50" i="24"/>
  <c r="H51" i="24"/>
  <c r="H52" i="24"/>
  <c r="H53" i="24"/>
  <c r="H54" i="24"/>
  <c r="H55" i="24"/>
  <c r="H56" i="24"/>
  <c r="H57" i="24"/>
  <c r="H58" i="24"/>
  <c r="H59" i="24"/>
  <c r="H11" i="24"/>
  <c r="N5" i="29" l="1"/>
  <c r="N25" i="21"/>
  <c r="Q12" i="17"/>
  <c r="Q13" i="17"/>
  <c r="Q14" i="17"/>
  <c r="Q15" i="17"/>
  <c r="Q16" i="17"/>
  <c r="Q17" i="17"/>
  <c r="Q18" i="17"/>
  <c r="Q19" i="17"/>
  <c r="Q20" i="17"/>
  <c r="Q21" i="17"/>
  <c r="Q22" i="17"/>
  <c r="Q23" i="17"/>
  <c r="Q24" i="17"/>
  <c r="Q25" i="17"/>
  <c r="Q26" i="17"/>
  <c r="Q27" i="17"/>
  <c r="Q28" i="17"/>
  <c r="Q29" i="17"/>
  <c r="Q30" i="17"/>
  <c r="Q31" i="17"/>
  <c r="Q32" i="17"/>
  <c r="Q33" i="17"/>
  <c r="Q34" i="17"/>
  <c r="Q35" i="17"/>
  <c r="Q36" i="17"/>
  <c r="Q37" i="17"/>
  <c r="Q38" i="17"/>
  <c r="Q39" i="17"/>
  <c r="Q40" i="17"/>
  <c r="Q41" i="17"/>
  <c r="Q42" i="17"/>
  <c r="Q43" i="17"/>
  <c r="Q44" i="17"/>
  <c r="Q45" i="17"/>
  <c r="Q46" i="17"/>
  <c r="Q47" i="17"/>
  <c r="Q48" i="17"/>
  <c r="Q49" i="17"/>
  <c r="Q50" i="17"/>
  <c r="Q51" i="17"/>
  <c r="Q52" i="17"/>
  <c r="Q53" i="17"/>
  <c r="Q54" i="17"/>
  <c r="Q55" i="17"/>
  <c r="Q56" i="17"/>
  <c r="Q57" i="17"/>
  <c r="Q58" i="17"/>
  <c r="Q59" i="17"/>
  <c r="K12" i="26" l="1"/>
  <c r="M12" i="26"/>
  <c r="C3" i="12" l="1"/>
  <c r="C4" i="12"/>
  <c r="C4" i="32" s="1"/>
  <c r="C2" i="12"/>
  <c r="C2" i="32" s="1"/>
  <c r="C3" i="32" l="1"/>
  <c r="O12" i="15"/>
  <c r="P12" i="15"/>
  <c r="Q12" i="15"/>
  <c r="O13" i="15"/>
  <c r="P13" i="15"/>
  <c r="Q13" i="15"/>
  <c r="O14" i="15"/>
  <c r="P14" i="15"/>
  <c r="Q14" i="15"/>
  <c r="O15" i="15"/>
  <c r="P15" i="15"/>
  <c r="Q15" i="15"/>
  <c r="O16" i="15"/>
  <c r="P16" i="15"/>
  <c r="Q16" i="15"/>
  <c r="O17" i="15"/>
  <c r="P17" i="15"/>
  <c r="Q17" i="15"/>
  <c r="O18" i="15"/>
  <c r="P18" i="15"/>
  <c r="Q18" i="15"/>
  <c r="O19" i="15"/>
  <c r="P19" i="15"/>
  <c r="Q19" i="15"/>
  <c r="O20" i="15"/>
  <c r="P20" i="15"/>
  <c r="Q20" i="15"/>
  <c r="O21" i="15"/>
  <c r="P21" i="15"/>
  <c r="Q21" i="15"/>
  <c r="O22" i="15"/>
  <c r="P22" i="15"/>
  <c r="Q22" i="15"/>
  <c r="O23" i="15"/>
  <c r="P23" i="15"/>
  <c r="Q23" i="15"/>
  <c r="O24" i="15"/>
  <c r="P24" i="15"/>
  <c r="Q24" i="15"/>
  <c r="O25" i="15"/>
  <c r="P25" i="15"/>
  <c r="Q25" i="15"/>
  <c r="O26" i="15"/>
  <c r="P26" i="15"/>
  <c r="Q26" i="15"/>
  <c r="O27" i="15"/>
  <c r="P27" i="15"/>
  <c r="Q27" i="15"/>
  <c r="O28" i="15"/>
  <c r="P28" i="15"/>
  <c r="Q28" i="15"/>
  <c r="O29" i="15"/>
  <c r="P29" i="15"/>
  <c r="Q29" i="15"/>
  <c r="O30" i="15"/>
  <c r="P30" i="15"/>
  <c r="Q30" i="15"/>
  <c r="O31" i="15"/>
  <c r="P31" i="15"/>
  <c r="Q31" i="15"/>
  <c r="O32" i="15"/>
  <c r="P32" i="15"/>
  <c r="Q32" i="15"/>
  <c r="O33" i="15"/>
  <c r="P33" i="15"/>
  <c r="Q33" i="15"/>
  <c r="O34" i="15"/>
  <c r="P34" i="15"/>
  <c r="Q34" i="15"/>
  <c r="O35" i="15"/>
  <c r="P35" i="15"/>
  <c r="Q35" i="15"/>
  <c r="O36" i="15"/>
  <c r="P36" i="15"/>
  <c r="Q36" i="15"/>
  <c r="O37" i="15"/>
  <c r="P37" i="15"/>
  <c r="Q37" i="15"/>
  <c r="O38" i="15"/>
  <c r="P38" i="15"/>
  <c r="Q38" i="15"/>
  <c r="O39" i="15"/>
  <c r="P39" i="15"/>
  <c r="Q39" i="15"/>
  <c r="O40" i="15"/>
  <c r="P40" i="15"/>
  <c r="Q40" i="15"/>
  <c r="O41" i="15"/>
  <c r="P41" i="15"/>
  <c r="Q41" i="15"/>
  <c r="O42" i="15"/>
  <c r="P42" i="15"/>
  <c r="Q42" i="15"/>
  <c r="O43" i="15"/>
  <c r="P43" i="15"/>
  <c r="Q43" i="15"/>
  <c r="O44" i="15"/>
  <c r="P44" i="15"/>
  <c r="Q44" i="15"/>
  <c r="O45" i="15"/>
  <c r="P45" i="15"/>
  <c r="Q45" i="15"/>
  <c r="O46" i="15"/>
  <c r="P46" i="15"/>
  <c r="Q46" i="15"/>
  <c r="O47" i="15"/>
  <c r="P47" i="15"/>
  <c r="Q47" i="15"/>
  <c r="O48" i="15"/>
  <c r="P48" i="15"/>
  <c r="Q48" i="15"/>
  <c r="O49" i="15"/>
  <c r="P49" i="15"/>
  <c r="Q49" i="15"/>
  <c r="O50" i="15"/>
  <c r="P50" i="15"/>
  <c r="Q50" i="15"/>
  <c r="O51" i="15"/>
  <c r="P51" i="15"/>
  <c r="Q51" i="15"/>
  <c r="O52" i="15"/>
  <c r="P52" i="15"/>
  <c r="Q52" i="15"/>
  <c r="O53" i="15"/>
  <c r="P53" i="15"/>
  <c r="Q53" i="15"/>
  <c r="O54" i="15"/>
  <c r="P54" i="15"/>
  <c r="Q54" i="15"/>
  <c r="O55" i="15"/>
  <c r="P55" i="15"/>
  <c r="Q55" i="15"/>
  <c r="O56" i="15"/>
  <c r="P56" i="15"/>
  <c r="Q56" i="15"/>
  <c r="O57" i="15"/>
  <c r="P57" i="15"/>
  <c r="Q57" i="15"/>
  <c r="O58" i="15"/>
  <c r="P58" i="15"/>
  <c r="Q58" i="15"/>
  <c r="O59" i="15"/>
  <c r="P59" i="15"/>
  <c r="Q59" i="15"/>
  <c r="Q11" i="15"/>
  <c r="P11" i="15"/>
  <c r="O11" i="15"/>
  <c r="Q11" i="17"/>
  <c r="O11" i="17"/>
  <c r="O12" i="17"/>
  <c r="E74" i="32" l="1"/>
  <c r="E75" i="32" s="1"/>
  <c r="S112" i="21"/>
  <c r="S129" i="21"/>
  <c r="C12" i="26"/>
  <c r="D12" i="26"/>
  <c r="C13" i="26"/>
  <c r="D13" i="26"/>
  <c r="C14" i="26"/>
  <c r="D14" i="26"/>
  <c r="C15" i="26"/>
  <c r="D15" i="26"/>
  <c r="C16" i="26"/>
  <c r="D16" i="26"/>
  <c r="C17" i="26"/>
  <c r="D17" i="26"/>
  <c r="C18" i="26"/>
  <c r="D18" i="26"/>
  <c r="C19" i="26"/>
  <c r="D19" i="26"/>
  <c r="C20" i="26"/>
  <c r="D20" i="26"/>
  <c r="C21" i="26"/>
  <c r="D21" i="26"/>
  <c r="C22" i="26"/>
  <c r="D22" i="26"/>
  <c r="C23" i="26"/>
  <c r="D23" i="26"/>
  <c r="C24" i="26"/>
  <c r="D24" i="26"/>
  <c r="C25" i="26"/>
  <c r="D25" i="26"/>
  <c r="C26" i="26"/>
  <c r="D26" i="26"/>
  <c r="C27" i="26"/>
  <c r="D27" i="26"/>
  <c r="C28" i="26"/>
  <c r="D28" i="26"/>
  <c r="C29" i="26"/>
  <c r="D29" i="26"/>
  <c r="C30" i="26"/>
  <c r="D30" i="26"/>
  <c r="C31" i="26"/>
  <c r="D31" i="26"/>
  <c r="C32" i="26"/>
  <c r="D32" i="26"/>
  <c r="C33" i="26"/>
  <c r="D33" i="26"/>
  <c r="C34" i="26"/>
  <c r="D34" i="26"/>
  <c r="C35" i="26"/>
  <c r="D35" i="26"/>
  <c r="C36" i="26"/>
  <c r="D36" i="26"/>
  <c r="C37" i="26"/>
  <c r="D37" i="26"/>
  <c r="C38" i="26"/>
  <c r="D38" i="26"/>
  <c r="C39" i="26"/>
  <c r="D39" i="26"/>
  <c r="C40" i="26"/>
  <c r="D40" i="26"/>
  <c r="C41" i="26"/>
  <c r="D41" i="26"/>
  <c r="C42" i="26"/>
  <c r="D42" i="26"/>
  <c r="C43" i="26"/>
  <c r="D43" i="26"/>
  <c r="C44" i="26"/>
  <c r="D44" i="26"/>
  <c r="C45" i="26"/>
  <c r="D45" i="26"/>
  <c r="C46" i="26"/>
  <c r="D46" i="26"/>
  <c r="C47" i="26"/>
  <c r="D47" i="26"/>
  <c r="C48" i="26"/>
  <c r="D48" i="26"/>
  <c r="C49" i="26"/>
  <c r="D49" i="26"/>
  <c r="C50" i="26"/>
  <c r="D50" i="26"/>
  <c r="C51" i="26"/>
  <c r="D51" i="26"/>
  <c r="C52" i="26"/>
  <c r="D52" i="26"/>
  <c r="C53" i="26"/>
  <c r="D53" i="26"/>
  <c r="C54" i="26"/>
  <c r="D54" i="26"/>
  <c r="C55" i="26"/>
  <c r="D55" i="26"/>
  <c r="C56" i="26"/>
  <c r="D56" i="26"/>
  <c r="C57" i="26"/>
  <c r="D57" i="26"/>
  <c r="C58" i="26"/>
  <c r="D58" i="26"/>
  <c r="C59" i="26"/>
  <c r="D59" i="26"/>
  <c r="D11" i="26"/>
  <c r="C11" i="26"/>
  <c r="B11" i="26"/>
  <c r="B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4" i="26"/>
  <c r="B45" i="26"/>
  <c r="B46" i="26"/>
  <c r="B47" i="26"/>
  <c r="B48" i="26"/>
  <c r="B49" i="26"/>
  <c r="B50" i="26"/>
  <c r="B51" i="26"/>
  <c r="B52" i="26"/>
  <c r="B53" i="26"/>
  <c r="B54" i="26"/>
  <c r="B55" i="26"/>
  <c r="B56" i="26"/>
  <c r="B57" i="26"/>
  <c r="B58" i="26"/>
  <c r="B59" i="26"/>
  <c r="C4" i="24"/>
  <c r="C3" i="24"/>
  <c r="C2"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C17" i="24" l="1"/>
  <c r="B17" i="24"/>
  <c r="B58" i="24"/>
  <c r="C58" i="24"/>
  <c r="C50" i="24"/>
  <c r="B50" i="24"/>
  <c r="B42" i="24"/>
  <c r="C42" i="24"/>
  <c r="C34" i="24"/>
  <c r="B34" i="24"/>
  <c r="C26" i="24"/>
  <c r="B26" i="24"/>
  <c r="B18" i="24"/>
  <c r="C18" i="24"/>
  <c r="B33" i="24"/>
  <c r="C33" i="24"/>
  <c r="B56" i="24"/>
  <c r="C56" i="24"/>
  <c r="B48" i="24"/>
  <c r="C48" i="24"/>
  <c r="B40" i="24"/>
  <c r="C40" i="24"/>
  <c r="B32" i="24"/>
  <c r="C32" i="24"/>
  <c r="B24" i="24"/>
  <c r="C24" i="24"/>
  <c r="B16" i="24"/>
  <c r="C16" i="24"/>
  <c r="B57" i="24"/>
  <c r="C57" i="24"/>
  <c r="B47" i="24"/>
  <c r="C47" i="24"/>
  <c r="B39" i="24"/>
  <c r="C39" i="24"/>
  <c r="B31" i="24"/>
  <c r="C31" i="24"/>
  <c r="B23" i="24"/>
  <c r="C23" i="24"/>
  <c r="B15" i="24"/>
  <c r="C15" i="24"/>
  <c r="B55" i="24"/>
  <c r="C55" i="24"/>
  <c r="B46" i="24"/>
  <c r="C46" i="24"/>
  <c r="B38" i="24"/>
  <c r="C38" i="24"/>
  <c r="B30" i="24"/>
  <c r="C30" i="24"/>
  <c r="B22" i="24"/>
  <c r="C22" i="24"/>
  <c r="C49" i="24"/>
  <c r="B49" i="24"/>
  <c r="B53" i="24"/>
  <c r="C53" i="24"/>
  <c r="C45" i="24"/>
  <c r="B45" i="24"/>
  <c r="C37" i="24"/>
  <c r="B37" i="24"/>
  <c r="C29" i="24"/>
  <c r="B29" i="24"/>
  <c r="B21" i="24"/>
  <c r="C21" i="24"/>
  <c r="B25" i="24"/>
  <c r="C25" i="24"/>
  <c r="B54" i="24"/>
  <c r="C54" i="24"/>
  <c r="C52" i="24"/>
  <c r="B52" i="24"/>
  <c r="C44" i="24"/>
  <c r="B44" i="24"/>
  <c r="C36" i="24"/>
  <c r="B36" i="24"/>
  <c r="C28" i="24"/>
  <c r="B28" i="24"/>
  <c r="C20" i="24"/>
  <c r="B20" i="24"/>
  <c r="B41" i="24"/>
  <c r="C41" i="24"/>
  <c r="C59" i="24"/>
  <c r="B59" i="24"/>
  <c r="C51" i="24"/>
  <c r="B51" i="24"/>
  <c r="C43" i="24"/>
  <c r="B43" i="24"/>
  <c r="C35" i="24"/>
  <c r="B35" i="24"/>
  <c r="C27" i="24"/>
  <c r="B27" i="24"/>
  <c r="C19" i="24"/>
  <c r="B19" i="24"/>
  <c r="B14" i="24"/>
  <c r="C14" i="24"/>
  <c r="C13" i="24"/>
  <c r="B13" i="24"/>
  <c r="C12" i="24"/>
  <c r="B12" i="24"/>
  <c r="N22" i="21"/>
  <c r="N3" i="29" l="1"/>
  <c r="R14" i="15"/>
  <c r="R18" i="15"/>
  <c r="R21" i="15"/>
  <c r="R22" i="15"/>
  <c r="R26" i="15"/>
  <c r="R34" i="15"/>
  <c r="R42" i="15"/>
  <c r="R50" i="15"/>
  <c r="R58" i="15"/>
  <c r="S171" i="29"/>
  <c r="S168" i="29"/>
  <c r="S163" i="29"/>
  <c r="S160" i="29"/>
  <c r="S152" i="29"/>
  <c r="S149" i="29"/>
  <c r="N149" i="29"/>
  <c r="S143" i="29"/>
  <c r="S137" i="29"/>
  <c r="S134" i="29"/>
  <c r="S126" i="29"/>
  <c r="S122" i="29"/>
  <c r="S115" i="29"/>
  <c r="S112" i="29"/>
  <c r="S110" i="29"/>
  <c r="S105" i="29"/>
  <c r="S98" i="29"/>
  <c r="S95" i="29"/>
  <c r="S92" i="29"/>
  <c r="S90" i="29"/>
  <c r="S86" i="29"/>
  <c r="S81" i="29"/>
  <c r="S79" i="29"/>
  <c r="S75" i="29"/>
  <c r="S73" i="29"/>
  <c r="S68" i="29"/>
  <c r="S65" i="29"/>
  <c r="S63" i="29"/>
  <c r="S53" i="29"/>
  <c r="S37" i="29"/>
  <c r="S29" i="29"/>
  <c r="S21" i="29"/>
  <c r="S18" i="29"/>
  <c r="S11" i="29"/>
  <c r="R13" i="15"/>
  <c r="R16" i="15"/>
  <c r="R19" i="15"/>
  <c r="R24" i="15"/>
  <c r="R27" i="15"/>
  <c r="R29" i="15"/>
  <c r="R30" i="15"/>
  <c r="R32" i="15"/>
  <c r="R37" i="15"/>
  <c r="R38" i="15"/>
  <c r="R40" i="15"/>
  <c r="R43" i="15"/>
  <c r="R45" i="15"/>
  <c r="R46" i="15"/>
  <c r="R48" i="15"/>
  <c r="R51" i="15"/>
  <c r="R53" i="15"/>
  <c r="R56" i="15"/>
  <c r="I26" i="21"/>
  <c r="E26" i="21"/>
  <c r="E6" i="21"/>
  <c r="J61" i="19"/>
  <c r="I61" i="19"/>
  <c r="F61" i="19"/>
  <c r="R20" i="15" l="1"/>
  <c r="R59" i="15"/>
  <c r="R54" i="15"/>
  <c r="R35" i="15"/>
  <c r="R39" i="15"/>
  <c r="R31" i="15"/>
  <c r="R15" i="15"/>
  <c r="R47" i="15"/>
  <c r="R28" i="15"/>
  <c r="R49" i="15"/>
  <c r="R41" i="15"/>
  <c r="R33" i="15"/>
  <c r="R25" i="15"/>
  <c r="R17" i="15"/>
  <c r="R55" i="15"/>
  <c r="R36" i="15"/>
  <c r="R44" i="15"/>
  <c r="R23" i="15"/>
  <c r="R52" i="15"/>
  <c r="R57" i="15"/>
  <c r="S36" i="29"/>
  <c r="S148" i="29"/>
  <c r="S17" i="29"/>
  <c r="S72" i="29"/>
  <c r="S89" i="29"/>
  <c r="S78" i="29"/>
  <c r="S131" i="29"/>
  <c r="S62" i="29"/>
  <c r="S159" i="29"/>
  <c r="S109" i="29"/>
  <c r="S167" i="29"/>
  <c r="C4" i="25"/>
  <c r="C3" i="25"/>
  <c r="C2" i="25"/>
  <c r="C4" i="27"/>
  <c r="C3" i="27"/>
  <c r="C2" i="27"/>
  <c r="C2" i="19"/>
  <c r="C4" i="19"/>
  <c r="C3" i="19"/>
  <c r="C4" i="26"/>
  <c r="C3" i="26"/>
  <c r="E3" i="26" s="1"/>
  <c r="C2" i="26"/>
  <c r="E38" i="12"/>
  <c r="C4" i="17"/>
  <c r="C3" i="17"/>
  <c r="E3" i="17" s="1"/>
  <c r="C2" i="17"/>
  <c r="C4" i="15"/>
  <c r="C3" i="15"/>
  <c r="C2" i="15"/>
  <c r="J58" i="25" l="1"/>
  <c r="E58" i="25"/>
  <c r="K53" i="26"/>
  <c r="L12" i="26"/>
  <c r="K13" i="26"/>
  <c r="L13" i="26"/>
  <c r="K14" i="26"/>
  <c r="L14" i="26"/>
  <c r="K15" i="26"/>
  <c r="L15" i="26"/>
  <c r="K16" i="26"/>
  <c r="L16" i="26"/>
  <c r="K17" i="26"/>
  <c r="L17" i="26"/>
  <c r="K18" i="26"/>
  <c r="L18" i="26"/>
  <c r="K19" i="26"/>
  <c r="L19" i="26"/>
  <c r="K20" i="26"/>
  <c r="L20" i="26"/>
  <c r="K21" i="26"/>
  <c r="L21" i="26"/>
  <c r="K22" i="26"/>
  <c r="L22" i="26"/>
  <c r="K23" i="26"/>
  <c r="L23" i="26"/>
  <c r="K24" i="26"/>
  <c r="L24" i="26"/>
  <c r="K25" i="26"/>
  <c r="L25" i="26"/>
  <c r="K26" i="26"/>
  <c r="L26" i="26"/>
  <c r="K27" i="26"/>
  <c r="L27" i="26"/>
  <c r="K28" i="26"/>
  <c r="L28" i="26"/>
  <c r="K29" i="26"/>
  <c r="L29" i="26"/>
  <c r="K30" i="26"/>
  <c r="L30" i="26"/>
  <c r="K31" i="26"/>
  <c r="L31" i="26"/>
  <c r="K32" i="26"/>
  <c r="L32" i="26"/>
  <c r="K33" i="26"/>
  <c r="L33" i="26"/>
  <c r="K34" i="26"/>
  <c r="L34" i="26"/>
  <c r="K35" i="26"/>
  <c r="L35" i="26"/>
  <c r="K36" i="26"/>
  <c r="L36" i="26"/>
  <c r="K37" i="26"/>
  <c r="L37" i="26"/>
  <c r="K38" i="26"/>
  <c r="L38" i="26"/>
  <c r="K39" i="26"/>
  <c r="L39" i="26"/>
  <c r="K40" i="26"/>
  <c r="L40" i="26"/>
  <c r="K41" i="26"/>
  <c r="L41" i="26"/>
  <c r="K42" i="26"/>
  <c r="L42" i="26"/>
  <c r="K43" i="26"/>
  <c r="L43" i="26"/>
  <c r="K44" i="26"/>
  <c r="L44" i="26"/>
  <c r="K45" i="26"/>
  <c r="L45" i="26"/>
  <c r="K46" i="26"/>
  <c r="L46" i="26"/>
  <c r="K47" i="26"/>
  <c r="L47" i="26"/>
  <c r="K48" i="26"/>
  <c r="L48" i="26"/>
  <c r="K49" i="26"/>
  <c r="L49" i="26"/>
  <c r="K50" i="26"/>
  <c r="L50" i="26"/>
  <c r="K51" i="26"/>
  <c r="L51" i="26"/>
  <c r="K52" i="26"/>
  <c r="L52" i="26"/>
  <c r="L53" i="26"/>
  <c r="K54" i="26"/>
  <c r="L54" i="26"/>
  <c r="K55" i="26"/>
  <c r="L55" i="26"/>
  <c r="K56" i="26"/>
  <c r="L56" i="26"/>
  <c r="K57" i="26"/>
  <c r="L57" i="26"/>
  <c r="K58" i="26"/>
  <c r="L58" i="26"/>
  <c r="K59" i="26"/>
  <c r="L59" i="26"/>
  <c r="K11" i="26"/>
  <c r="L11" i="26"/>
  <c r="M59" i="26"/>
  <c r="F59" i="26"/>
  <c r="M58" i="26"/>
  <c r="F58" i="26"/>
  <c r="M57" i="26"/>
  <c r="F57" i="26"/>
  <c r="M56" i="26"/>
  <c r="F56" i="26"/>
  <c r="M55" i="26"/>
  <c r="F55" i="26"/>
  <c r="M54" i="26"/>
  <c r="F54" i="26"/>
  <c r="M53" i="26"/>
  <c r="F53" i="26"/>
  <c r="M52" i="26"/>
  <c r="F52" i="26"/>
  <c r="M51" i="26"/>
  <c r="F51" i="26"/>
  <c r="M50" i="26"/>
  <c r="F50" i="26"/>
  <c r="M49" i="26"/>
  <c r="F49" i="26"/>
  <c r="M48" i="26"/>
  <c r="F48" i="26"/>
  <c r="M47" i="26"/>
  <c r="F47" i="26"/>
  <c r="M46" i="26"/>
  <c r="F46" i="26"/>
  <c r="M45" i="26"/>
  <c r="F45" i="26"/>
  <c r="M44" i="26"/>
  <c r="F44" i="26"/>
  <c r="M43" i="26"/>
  <c r="F43" i="26"/>
  <c r="M42" i="26"/>
  <c r="F42" i="26"/>
  <c r="M41" i="26"/>
  <c r="F41" i="26"/>
  <c r="M40" i="26"/>
  <c r="F40" i="26"/>
  <c r="M39" i="26"/>
  <c r="F39" i="26"/>
  <c r="M38" i="26"/>
  <c r="F38" i="26"/>
  <c r="M37" i="26"/>
  <c r="F37" i="26"/>
  <c r="M36" i="26"/>
  <c r="F36" i="26"/>
  <c r="M35" i="26"/>
  <c r="F35" i="26"/>
  <c r="M34" i="26"/>
  <c r="F34" i="26"/>
  <c r="M33" i="26"/>
  <c r="F33" i="26"/>
  <c r="M32" i="26"/>
  <c r="F32" i="26"/>
  <c r="M31" i="26"/>
  <c r="F31" i="26"/>
  <c r="M30" i="26"/>
  <c r="F30" i="26"/>
  <c r="M29" i="26"/>
  <c r="F29" i="26"/>
  <c r="M28" i="26"/>
  <c r="F28" i="26"/>
  <c r="M27" i="26"/>
  <c r="F27" i="26"/>
  <c r="M26" i="26"/>
  <c r="F26" i="26"/>
  <c r="M25" i="26"/>
  <c r="F25" i="26"/>
  <c r="M24" i="26"/>
  <c r="F24" i="26"/>
  <c r="M23" i="26"/>
  <c r="F23" i="26"/>
  <c r="M22" i="26"/>
  <c r="F22" i="26"/>
  <c r="M21" i="26"/>
  <c r="F21" i="26"/>
  <c r="M20" i="26"/>
  <c r="F20" i="26"/>
  <c r="M19" i="26"/>
  <c r="F19" i="26"/>
  <c r="M18" i="26"/>
  <c r="F18" i="26"/>
  <c r="M17" i="26"/>
  <c r="F17" i="26"/>
  <c r="M16" i="26"/>
  <c r="F16" i="26"/>
  <c r="M15" i="26"/>
  <c r="F15" i="26"/>
  <c r="M14" i="26"/>
  <c r="F14" i="26"/>
  <c r="M13" i="26"/>
  <c r="F13" i="26"/>
  <c r="F12" i="26"/>
  <c r="M11" i="26"/>
  <c r="F11" i="26"/>
  <c r="B11" i="27"/>
  <c r="H19" i="27" l="1"/>
  <c r="F19" i="27"/>
  <c r="H59" i="27"/>
  <c r="F59" i="27"/>
  <c r="H55" i="27"/>
  <c r="F55" i="27"/>
  <c r="F56" i="27"/>
  <c r="H56" i="27"/>
  <c r="H47" i="27"/>
  <c r="F47" i="27"/>
  <c r="H39" i="27"/>
  <c r="F39" i="27"/>
  <c r="F35" i="27"/>
  <c r="H35" i="27"/>
  <c r="F31" i="27"/>
  <c r="H31" i="27"/>
  <c r="H23" i="27"/>
  <c r="F23" i="27"/>
  <c r="H15" i="27"/>
  <c r="F15" i="27"/>
  <c r="H50" i="27"/>
  <c r="F50" i="27"/>
  <c r="H46" i="27"/>
  <c r="F46" i="27"/>
  <c r="H42" i="27"/>
  <c r="F42" i="27"/>
  <c r="H38" i="27"/>
  <c r="F38" i="27"/>
  <c r="H34" i="27"/>
  <c r="F34" i="27"/>
  <c r="H30" i="27"/>
  <c r="F30" i="27"/>
  <c r="H26" i="27"/>
  <c r="F26" i="27"/>
  <c r="H22" i="27"/>
  <c r="F22" i="27"/>
  <c r="H18" i="27"/>
  <c r="F18" i="27"/>
  <c r="H14" i="27"/>
  <c r="F14" i="27"/>
  <c r="H51" i="27"/>
  <c r="F51" i="27"/>
  <c r="F43" i="27"/>
  <c r="H43" i="27"/>
  <c r="H27" i="27"/>
  <c r="F27" i="27"/>
  <c r="H58" i="27"/>
  <c r="F58" i="27"/>
  <c r="H54" i="27"/>
  <c r="F54" i="27"/>
  <c r="H49" i="27"/>
  <c r="F49" i="27"/>
  <c r="H45" i="27"/>
  <c r="F45" i="27"/>
  <c r="H41" i="27"/>
  <c r="F41" i="27"/>
  <c r="H37" i="27"/>
  <c r="F37" i="27"/>
  <c r="H33" i="27"/>
  <c r="F33" i="27"/>
  <c r="H29" i="27"/>
  <c r="F29" i="27"/>
  <c r="H25" i="27"/>
  <c r="F25" i="27"/>
  <c r="H21" i="27"/>
  <c r="F21" i="27"/>
  <c r="H17" i="27"/>
  <c r="F17" i="27"/>
  <c r="F13" i="27"/>
  <c r="H13" i="27"/>
  <c r="H57" i="27"/>
  <c r="F57" i="27"/>
  <c r="H52" i="27"/>
  <c r="F52" i="27"/>
  <c r="H48" i="27"/>
  <c r="F48" i="27"/>
  <c r="H44" i="27"/>
  <c r="F44" i="27"/>
  <c r="H40" i="27"/>
  <c r="F40" i="27"/>
  <c r="H36" i="27"/>
  <c r="F36" i="27"/>
  <c r="H32" i="27"/>
  <c r="F32" i="27"/>
  <c r="H28" i="27"/>
  <c r="F28" i="27"/>
  <c r="F24" i="27"/>
  <c r="H24" i="27"/>
  <c r="H20" i="27"/>
  <c r="F20" i="27"/>
  <c r="H16" i="27"/>
  <c r="F16" i="27"/>
  <c r="F12" i="27"/>
  <c r="H53" i="27"/>
  <c r="F53" i="27"/>
  <c r="H11" i="27"/>
  <c r="F11" i="27"/>
  <c r="G51" i="27"/>
  <c r="G47" i="27"/>
  <c r="G43" i="27"/>
  <c r="G39" i="27"/>
  <c r="G35" i="27"/>
  <c r="G31" i="27"/>
  <c r="G27" i="27"/>
  <c r="G23" i="27"/>
  <c r="G19" i="27"/>
  <c r="G59" i="27"/>
  <c r="G55" i="27"/>
  <c r="G50" i="27"/>
  <c r="G42" i="27"/>
  <c r="G38" i="27"/>
  <c r="G34" i="27"/>
  <c r="G30" i="27"/>
  <c r="G18" i="27"/>
  <c r="G14" i="27"/>
  <c r="G46" i="27"/>
  <c r="G22" i="27"/>
  <c r="G58" i="27"/>
  <c r="G54" i="27"/>
  <c r="G26" i="27"/>
  <c r="G49" i="27"/>
  <c r="G45" i="27"/>
  <c r="G41" i="27"/>
  <c r="G37" i="27"/>
  <c r="G33" i="27"/>
  <c r="G29" i="27"/>
  <c r="G25" i="27"/>
  <c r="G21" i="27"/>
  <c r="G17" i="27"/>
  <c r="G57" i="27"/>
  <c r="G52" i="27"/>
  <c r="G48" i="27"/>
  <c r="G44" i="27"/>
  <c r="G40" i="27"/>
  <c r="G36" i="27"/>
  <c r="G32" i="27"/>
  <c r="G28" i="27"/>
  <c r="G24" i="27"/>
  <c r="G20" i="27"/>
  <c r="G16" i="27"/>
  <c r="G56" i="27"/>
  <c r="G53" i="27"/>
  <c r="G15" i="27"/>
  <c r="G13" i="27"/>
  <c r="G12" i="27"/>
  <c r="G11" i="27"/>
  <c r="S185" i="21"/>
  <c r="S182" i="21"/>
  <c r="S177" i="21"/>
  <c r="S174" i="21"/>
  <c r="N163" i="21"/>
  <c r="S166" i="21"/>
  <c r="S163" i="21"/>
  <c r="S95" i="21"/>
  <c r="S124" i="21"/>
  <c r="S104" i="21"/>
  <c r="S93" i="21"/>
  <c r="S140" i="21"/>
  <c r="S136" i="21"/>
  <c r="S126" i="21"/>
  <c r="S119" i="21"/>
  <c r="S109" i="21"/>
  <c r="S106" i="21"/>
  <c r="S100" i="21"/>
  <c r="S98" i="21"/>
  <c r="S89" i="21"/>
  <c r="S87" i="21"/>
  <c r="S81" i="21"/>
  <c r="S83" i="21"/>
  <c r="S71" i="21"/>
  <c r="S55" i="21"/>
  <c r="S54" i="21" s="1"/>
  <c r="S36" i="21"/>
  <c r="S47" i="21"/>
  <c r="S39" i="21"/>
  <c r="N3" i="21"/>
  <c r="S18" i="21"/>
  <c r="S27" i="21"/>
  <c r="S7" i="21"/>
  <c r="S86" i="21" l="1"/>
  <c r="S92" i="21"/>
  <c r="S80" i="21"/>
  <c r="S103" i="21"/>
  <c r="G60" i="27"/>
  <c r="F60" i="27"/>
  <c r="S181" i="21"/>
  <c r="S123" i="21"/>
  <c r="S173" i="21"/>
  <c r="S35" i="21"/>
  <c r="S162" i="21"/>
  <c r="C14" i="17"/>
  <c r="S30" i="21"/>
  <c r="F15" i="17" l="1"/>
  <c r="J12" i="15"/>
  <c r="K12" i="15"/>
  <c r="J13" i="15"/>
  <c r="K13" i="15"/>
  <c r="J14" i="15"/>
  <c r="K14" i="15"/>
  <c r="J15" i="15"/>
  <c r="K15" i="15"/>
  <c r="J16" i="15"/>
  <c r="K16" i="15"/>
  <c r="J17" i="15"/>
  <c r="K17" i="15"/>
  <c r="J18" i="15"/>
  <c r="K18" i="15"/>
  <c r="J19" i="15"/>
  <c r="K19" i="15"/>
  <c r="J20" i="15"/>
  <c r="K20" i="15"/>
  <c r="J21" i="15"/>
  <c r="K21" i="15"/>
  <c r="J22" i="15"/>
  <c r="K22" i="15"/>
  <c r="J23" i="15"/>
  <c r="K23" i="15"/>
  <c r="J24" i="15"/>
  <c r="K24" i="15"/>
  <c r="J25" i="15"/>
  <c r="K25" i="15"/>
  <c r="J26" i="15"/>
  <c r="K26" i="15"/>
  <c r="J27" i="15"/>
  <c r="K27" i="15"/>
  <c r="J28" i="15"/>
  <c r="K28" i="15"/>
  <c r="J29" i="15"/>
  <c r="K29" i="15"/>
  <c r="J30" i="15"/>
  <c r="K30" i="15"/>
  <c r="J31" i="15"/>
  <c r="K31" i="15"/>
  <c r="J32" i="15"/>
  <c r="K32" i="15"/>
  <c r="J33" i="15"/>
  <c r="K33" i="15"/>
  <c r="J34" i="15"/>
  <c r="K34" i="15"/>
  <c r="J35" i="15"/>
  <c r="K35" i="15"/>
  <c r="J36" i="15"/>
  <c r="K36" i="15"/>
  <c r="J37" i="15"/>
  <c r="K37" i="15"/>
  <c r="J38" i="15"/>
  <c r="K38" i="15"/>
  <c r="J39" i="15"/>
  <c r="K39" i="15"/>
  <c r="J40" i="15"/>
  <c r="K40" i="15"/>
  <c r="J41" i="15"/>
  <c r="K41" i="15"/>
  <c r="J42" i="15"/>
  <c r="K42" i="15"/>
  <c r="J43" i="15"/>
  <c r="K43" i="15"/>
  <c r="J44" i="15"/>
  <c r="K44" i="15"/>
  <c r="J45" i="15"/>
  <c r="K45" i="15"/>
  <c r="J46" i="15"/>
  <c r="K46" i="15"/>
  <c r="J47" i="15"/>
  <c r="K47" i="15"/>
  <c r="J48" i="15"/>
  <c r="K48" i="15"/>
  <c r="J49" i="15"/>
  <c r="K49" i="15"/>
  <c r="J50" i="15"/>
  <c r="K50" i="15"/>
  <c r="J51" i="15"/>
  <c r="K51" i="15"/>
  <c r="J52" i="15"/>
  <c r="K52" i="15"/>
  <c r="J53" i="15"/>
  <c r="K53" i="15"/>
  <c r="J54" i="15"/>
  <c r="K54" i="15"/>
  <c r="J55" i="15"/>
  <c r="K55" i="15"/>
  <c r="J56" i="15"/>
  <c r="K56" i="15"/>
  <c r="J57" i="15"/>
  <c r="K57" i="15"/>
  <c r="J58" i="15"/>
  <c r="K58" i="15"/>
  <c r="J59" i="15"/>
  <c r="K59" i="15"/>
  <c r="H27" i="25" l="1"/>
  <c r="J39" i="25" s="1"/>
  <c r="J34" i="25"/>
  <c r="J35" i="25" s="1"/>
  <c r="H34" i="25"/>
  <c r="H35" i="25" s="1"/>
  <c r="J27" i="25"/>
  <c r="C34" i="25"/>
  <c r="C35" i="25" s="1"/>
  <c r="E34" i="25"/>
  <c r="E35" i="25" s="1"/>
  <c r="E27" i="25"/>
  <c r="C27" i="25"/>
  <c r="E53" i="25" l="1"/>
  <c r="E39" i="25"/>
  <c r="J55" i="25"/>
  <c r="J53" i="25"/>
  <c r="E37" i="25"/>
  <c r="E36" i="25"/>
  <c r="J37" i="25"/>
  <c r="J36" i="25"/>
  <c r="E55" i="25"/>
  <c r="E57" i="25" s="1"/>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3" i="24"/>
  <c r="E54" i="24"/>
  <c r="E55" i="24"/>
  <c r="E56" i="24"/>
  <c r="E57" i="24"/>
  <c r="E58" i="24"/>
  <c r="E59" i="24"/>
  <c r="E59" i="25" l="1"/>
  <c r="J40" i="25"/>
  <c r="J42" i="25" s="1"/>
  <c r="J57" i="25"/>
  <c r="J59" i="25" s="1"/>
  <c r="E40" i="25"/>
  <c r="K11" i="15"/>
  <c r="J11" i="15"/>
  <c r="L12" i="17"/>
  <c r="M12" i="17"/>
  <c r="N12" i="17"/>
  <c r="L13" i="17"/>
  <c r="M13" i="17"/>
  <c r="N13" i="17"/>
  <c r="O13" i="17"/>
  <c r="L14" i="17"/>
  <c r="M14" i="17"/>
  <c r="N14" i="17"/>
  <c r="O14" i="17"/>
  <c r="L15" i="17"/>
  <c r="M15" i="17"/>
  <c r="N15" i="17"/>
  <c r="O15" i="17"/>
  <c r="L16" i="17"/>
  <c r="M16" i="17"/>
  <c r="N16" i="17"/>
  <c r="O16" i="17"/>
  <c r="L17" i="17"/>
  <c r="M17" i="17"/>
  <c r="N17" i="17"/>
  <c r="O17" i="17"/>
  <c r="L18" i="17"/>
  <c r="M18" i="17"/>
  <c r="N18" i="17"/>
  <c r="O18" i="17"/>
  <c r="L19" i="17"/>
  <c r="M19" i="17"/>
  <c r="N19" i="17"/>
  <c r="O19" i="17"/>
  <c r="L20" i="17"/>
  <c r="M20" i="17"/>
  <c r="N20" i="17"/>
  <c r="O20" i="17"/>
  <c r="L21" i="17"/>
  <c r="M21" i="17"/>
  <c r="N21" i="17"/>
  <c r="O21" i="17"/>
  <c r="L22" i="17"/>
  <c r="M22" i="17"/>
  <c r="N22" i="17"/>
  <c r="O22" i="17"/>
  <c r="L23" i="17"/>
  <c r="M23" i="17"/>
  <c r="N23" i="17"/>
  <c r="O23" i="17"/>
  <c r="L24" i="17"/>
  <c r="M24" i="17"/>
  <c r="N24" i="17"/>
  <c r="O24" i="17"/>
  <c r="L25" i="17"/>
  <c r="M25" i="17"/>
  <c r="N25" i="17"/>
  <c r="O25" i="17"/>
  <c r="L26" i="17"/>
  <c r="M26" i="17"/>
  <c r="N26" i="17"/>
  <c r="O26" i="17"/>
  <c r="L27" i="17"/>
  <c r="M27" i="17"/>
  <c r="N27" i="17"/>
  <c r="O27" i="17"/>
  <c r="L28" i="17"/>
  <c r="M28" i="17"/>
  <c r="N28" i="17"/>
  <c r="O28" i="17"/>
  <c r="L29" i="17"/>
  <c r="M29" i="17"/>
  <c r="N29" i="17"/>
  <c r="O29" i="17"/>
  <c r="L30" i="17"/>
  <c r="M30" i="17"/>
  <c r="N30" i="17"/>
  <c r="O30" i="17"/>
  <c r="L31" i="17"/>
  <c r="M31" i="17"/>
  <c r="N31" i="17"/>
  <c r="O31" i="17"/>
  <c r="L32" i="17"/>
  <c r="M32" i="17"/>
  <c r="N32" i="17"/>
  <c r="O32" i="17"/>
  <c r="L33" i="17"/>
  <c r="M33" i="17"/>
  <c r="N33" i="17"/>
  <c r="O33" i="17"/>
  <c r="L34" i="17"/>
  <c r="M34" i="17"/>
  <c r="N34" i="17"/>
  <c r="O34" i="17"/>
  <c r="L35" i="17"/>
  <c r="M35" i="17"/>
  <c r="N35" i="17"/>
  <c r="O35" i="17"/>
  <c r="L36" i="17"/>
  <c r="M36" i="17"/>
  <c r="N36" i="17"/>
  <c r="O36" i="17"/>
  <c r="L37" i="17"/>
  <c r="M37" i="17"/>
  <c r="N37" i="17"/>
  <c r="O37" i="17"/>
  <c r="L38" i="17"/>
  <c r="M38" i="17"/>
  <c r="N38" i="17"/>
  <c r="O38" i="17"/>
  <c r="L39" i="17"/>
  <c r="M39" i="17"/>
  <c r="N39" i="17"/>
  <c r="O39" i="17"/>
  <c r="L40" i="17"/>
  <c r="M40" i="17"/>
  <c r="N40" i="17"/>
  <c r="O40" i="17"/>
  <c r="L41" i="17"/>
  <c r="M41" i="17"/>
  <c r="N41" i="17"/>
  <c r="O41" i="17"/>
  <c r="L42" i="17"/>
  <c r="M42" i="17"/>
  <c r="N42" i="17"/>
  <c r="O42" i="17"/>
  <c r="L43" i="17"/>
  <c r="M43" i="17"/>
  <c r="N43" i="17"/>
  <c r="O43" i="17"/>
  <c r="L44" i="17"/>
  <c r="M44" i="17"/>
  <c r="N44" i="17"/>
  <c r="O44" i="17"/>
  <c r="L45" i="17"/>
  <c r="M45" i="17"/>
  <c r="N45" i="17"/>
  <c r="O45" i="17"/>
  <c r="L46" i="17"/>
  <c r="M46" i="17"/>
  <c r="N46" i="17"/>
  <c r="O46" i="17"/>
  <c r="L47" i="17"/>
  <c r="M47" i="17"/>
  <c r="N47" i="17"/>
  <c r="O47" i="17"/>
  <c r="L48" i="17"/>
  <c r="M48" i="17"/>
  <c r="N48" i="17"/>
  <c r="O48" i="17"/>
  <c r="L49" i="17"/>
  <c r="M49" i="17"/>
  <c r="N49" i="17"/>
  <c r="O49" i="17"/>
  <c r="L50" i="17"/>
  <c r="M50" i="17"/>
  <c r="N50" i="17"/>
  <c r="O50" i="17"/>
  <c r="L51" i="17"/>
  <c r="M51" i="17"/>
  <c r="N51" i="17"/>
  <c r="O51" i="17"/>
  <c r="L52" i="17"/>
  <c r="M52" i="17"/>
  <c r="N52" i="17"/>
  <c r="O52" i="17"/>
  <c r="L53" i="17"/>
  <c r="M53" i="17"/>
  <c r="N53" i="17"/>
  <c r="O53" i="17"/>
  <c r="L54" i="17"/>
  <c r="M54" i="17"/>
  <c r="N54" i="17"/>
  <c r="O54" i="17"/>
  <c r="L55" i="17"/>
  <c r="M55" i="17"/>
  <c r="N55" i="17"/>
  <c r="O55" i="17"/>
  <c r="L56" i="17"/>
  <c r="M56" i="17"/>
  <c r="N56" i="17"/>
  <c r="O56" i="17"/>
  <c r="L57" i="17"/>
  <c r="M57" i="17"/>
  <c r="N57" i="17"/>
  <c r="O57" i="17"/>
  <c r="L58" i="17"/>
  <c r="M58" i="17"/>
  <c r="N58" i="17"/>
  <c r="O58" i="17"/>
  <c r="L59" i="17"/>
  <c r="M59" i="17"/>
  <c r="N59" i="17"/>
  <c r="O59" i="17"/>
  <c r="N11" i="17"/>
  <c r="M11" i="17"/>
  <c r="L11" i="17"/>
  <c r="I51" i="15"/>
  <c r="L51" i="15" s="1"/>
  <c r="I12" i="15"/>
  <c r="I13" i="15"/>
  <c r="I14" i="15"/>
  <c r="L14" i="15" s="1"/>
  <c r="I15" i="15"/>
  <c r="L15" i="15" s="1"/>
  <c r="I16" i="15"/>
  <c r="L16" i="15" s="1"/>
  <c r="I17" i="15"/>
  <c r="L17" i="15" s="1"/>
  <c r="I18" i="15"/>
  <c r="L18" i="15" s="1"/>
  <c r="I19" i="15"/>
  <c r="L19" i="15" s="1"/>
  <c r="I20" i="15"/>
  <c r="L20" i="15" s="1"/>
  <c r="I21" i="15"/>
  <c r="I22" i="15"/>
  <c r="L22" i="15" s="1"/>
  <c r="I23" i="15"/>
  <c r="L23" i="15" s="1"/>
  <c r="I24" i="15"/>
  <c r="L24" i="15" s="1"/>
  <c r="I25" i="15"/>
  <c r="L25" i="15" s="1"/>
  <c r="I26" i="15"/>
  <c r="L26" i="15" s="1"/>
  <c r="I27" i="15"/>
  <c r="L27" i="15" s="1"/>
  <c r="I28" i="15"/>
  <c r="L28" i="15" s="1"/>
  <c r="I29" i="15"/>
  <c r="I30" i="15"/>
  <c r="L30" i="15" s="1"/>
  <c r="I31" i="15"/>
  <c r="L31" i="15" s="1"/>
  <c r="I32" i="15"/>
  <c r="L32" i="15" s="1"/>
  <c r="I33" i="15"/>
  <c r="L33" i="15" s="1"/>
  <c r="I34" i="15"/>
  <c r="L34" i="15" s="1"/>
  <c r="I35" i="15"/>
  <c r="L35" i="15" s="1"/>
  <c r="I36" i="15"/>
  <c r="L36" i="15" s="1"/>
  <c r="I37" i="15"/>
  <c r="I38" i="15"/>
  <c r="L38" i="15" s="1"/>
  <c r="I39" i="15"/>
  <c r="L39" i="15" s="1"/>
  <c r="I40" i="15"/>
  <c r="L40" i="15" s="1"/>
  <c r="I41" i="15"/>
  <c r="L41" i="15" s="1"/>
  <c r="I42" i="15"/>
  <c r="L42" i="15" s="1"/>
  <c r="I43" i="15"/>
  <c r="L43" i="15" s="1"/>
  <c r="I44" i="15"/>
  <c r="L44" i="15" s="1"/>
  <c r="I45" i="15"/>
  <c r="I46" i="15"/>
  <c r="L46" i="15" s="1"/>
  <c r="I47" i="15"/>
  <c r="L47" i="15" s="1"/>
  <c r="I48" i="15"/>
  <c r="L48" i="15" s="1"/>
  <c r="I49" i="15"/>
  <c r="L49" i="15" s="1"/>
  <c r="I50" i="15"/>
  <c r="L50" i="15" s="1"/>
  <c r="I52" i="15"/>
  <c r="L52" i="15" s="1"/>
  <c r="I53" i="15"/>
  <c r="L53" i="15" s="1"/>
  <c r="I54" i="15"/>
  <c r="L54" i="15" s="1"/>
  <c r="I55" i="15"/>
  <c r="L55" i="15" s="1"/>
  <c r="I56" i="15"/>
  <c r="L56" i="15" s="1"/>
  <c r="I57" i="15"/>
  <c r="L57" i="15" s="1"/>
  <c r="I58" i="15"/>
  <c r="L58" i="15" s="1"/>
  <c r="I59" i="15"/>
  <c r="L59" i="15" s="1"/>
  <c r="I11" i="15"/>
  <c r="E42" i="25" l="1"/>
  <c r="H58" i="19"/>
  <c r="H56" i="19"/>
  <c r="H54" i="19"/>
  <c r="H50" i="19"/>
  <c r="H48" i="19"/>
  <c r="H46" i="19"/>
  <c r="H44" i="19"/>
  <c r="H42" i="19"/>
  <c r="H40" i="19"/>
  <c r="H38" i="19"/>
  <c r="H36" i="19"/>
  <c r="H34" i="19"/>
  <c r="H32" i="19"/>
  <c r="H30" i="19"/>
  <c r="H28" i="19"/>
  <c r="H26" i="19"/>
  <c r="H24" i="19"/>
  <c r="H22" i="19"/>
  <c r="H20" i="19"/>
  <c r="H18" i="19"/>
  <c r="H16" i="19"/>
  <c r="H14" i="19"/>
  <c r="H59" i="19"/>
  <c r="H57" i="19"/>
  <c r="H55" i="19"/>
  <c r="H53" i="19"/>
  <c r="H49" i="19"/>
  <c r="H41" i="19"/>
  <c r="H33" i="19"/>
  <c r="H25" i="19"/>
  <c r="H17" i="19"/>
  <c r="H52" i="19"/>
  <c r="H45" i="19"/>
  <c r="H43" i="19"/>
  <c r="H39" i="19"/>
  <c r="H37" i="19"/>
  <c r="H35" i="19"/>
  <c r="H31" i="19"/>
  <c r="H29" i="19"/>
  <c r="H27" i="19"/>
  <c r="H23" i="19"/>
  <c r="H21" i="19"/>
  <c r="H19" i="19"/>
  <c r="H15" i="19"/>
  <c r="H13" i="19"/>
  <c r="H51" i="19"/>
  <c r="H47" i="19"/>
  <c r="L12" i="15"/>
  <c r="H12" i="19"/>
  <c r="G45" i="19"/>
  <c r="L45" i="15"/>
  <c r="G37" i="19"/>
  <c r="L37" i="15"/>
  <c r="G29" i="19"/>
  <c r="L29" i="15"/>
  <c r="G21" i="19"/>
  <c r="L21" i="15"/>
  <c r="G13" i="19"/>
  <c r="L13" i="15"/>
  <c r="G58" i="19"/>
  <c r="G50" i="19"/>
  <c r="G42" i="19"/>
  <c r="G34" i="19"/>
  <c r="G26" i="19"/>
  <c r="G18" i="19"/>
  <c r="G57" i="19"/>
  <c r="G49" i="19"/>
  <c r="G41" i="19"/>
  <c r="G33" i="19"/>
  <c r="G25" i="19"/>
  <c r="G17" i="19"/>
  <c r="G56" i="19"/>
  <c r="G48" i="19"/>
  <c r="G40" i="19"/>
  <c r="G32" i="19"/>
  <c r="G24" i="19"/>
  <c r="G16" i="19"/>
  <c r="G55" i="19"/>
  <c r="G47" i="19"/>
  <c r="G39" i="19"/>
  <c r="G31" i="19"/>
  <c r="G23" i="19"/>
  <c r="G15" i="19"/>
  <c r="G54" i="19"/>
  <c r="G46" i="19"/>
  <c r="G38" i="19"/>
  <c r="G30" i="19"/>
  <c r="G22" i="19"/>
  <c r="G14" i="19"/>
  <c r="L11" i="15"/>
  <c r="G53" i="19"/>
  <c r="G52" i="19"/>
  <c r="G44" i="19"/>
  <c r="G36" i="19"/>
  <c r="G28" i="19"/>
  <c r="G20" i="19"/>
  <c r="G12" i="19"/>
  <c r="G59" i="19"/>
  <c r="G51" i="19"/>
  <c r="G43" i="19"/>
  <c r="G35" i="19"/>
  <c r="G27" i="19"/>
  <c r="G19" i="19"/>
  <c r="G11" i="19"/>
  <c r="G60" i="19" l="1"/>
  <c r="E16" i="21" l="1"/>
  <c r="L16" i="21" s="1"/>
  <c r="G62" i="19"/>
  <c r="B11" i="17"/>
  <c r="D11" i="24" s="1"/>
  <c r="C11" i="17"/>
  <c r="D11" i="17"/>
  <c r="F11" i="17"/>
  <c r="B12" i="17"/>
  <c r="C12" i="17"/>
  <c r="D12" i="17"/>
  <c r="F12" i="17"/>
  <c r="B13" i="17"/>
  <c r="C13" i="17"/>
  <c r="D13" i="17"/>
  <c r="F13" i="17"/>
  <c r="B14" i="17"/>
  <c r="D14" i="17"/>
  <c r="F14" i="17"/>
  <c r="B15" i="17"/>
  <c r="C15" i="17"/>
  <c r="D15" i="17"/>
  <c r="B16" i="17"/>
  <c r="C16" i="17"/>
  <c r="D16" i="17"/>
  <c r="F16" i="17"/>
  <c r="B17" i="17"/>
  <c r="C17" i="17"/>
  <c r="D17" i="17"/>
  <c r="F17" i="17"/>
  <c r="D11" i="15"/>
  <c r="F11" i="15" s="1"/>
  <c r="M11" i="15" s="1"/>
  <c r="D14" i="15"/>
  <c r="F14" i="15" s="1"/>
  <c r="C11" i="24" l="1"/>
  <c r="B11" i="24"/>
  <c r="R11" i="15"/>
  <c r="G11" i="26"/>
  <c r="B15" i="27"/>
  <c r="B14" i="27"/>
  <c r="B12" i="27"/>
  <c r="B16" i="27"/>
  <c r="B17" i="27"/>
  <c r="B13" i="2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C18" i="17"/>
  <c r="D18" i="17"/>
  <c r="C19" i="17"/>
  <c r="D19" i="17"/>
  <c r="C20" i="17"/>
  <c r="D20" i="17"/>
  <c r="C21" i="17"/>
  <c r="D21" i="17"/>
  <c r="C22" i="17"/>
  <c r="D22" i="17"/>
  <c r="C23" i="17"/>
  <c r="D23" i="17"/>
  <c r="C24" i="17"/>
  <c r="D24" i="17"/>
  <c r="C25" i="17"/>
  <c r="D25" i="17"/>
  <c r="C26" i="17"/>
  <c r="D26" i="17"/>
  <c r="C27" i="17"/>
  <c r="D27" i="17"/>
  <c r="C28" i="17"/>
  <c r="D28" i="17"/>
  <c r="C29" i="17"/>
  <c r="D29" i="17"/>
  <c r="C30" i="17"/>
  <c r="D30" i="17"/>
  <c r="C31" i="17"/>
  <c r="D31" i="17"/>
  <c r="C32" i="17"/>
  <c r="D32" i="17"/>
  <c r="C33" i="17"/>
  <c r="D33" i="17"/>
  <c r="C34" i="17"/>
  <c r="D34" i="17"/>
  <c r="C35" i="17"/>
  <c r="D35" i="17"/>
  <c r="C36" i="17"/>
  <c r="D36" i="17"/>
  <c r="C37" i="17"/>
  <c r="D37" i="17"/>
  <c r="C38" i="17"/>
  <c r="D38" i="17"/>
  <c r="C39" i="17"/>
  <c r="D39" i="17"/>
  <c r="C40" i="17"/>
  <c r="D40" i="17"/>
  <c r="C41" i="17"/>
  <c r="D41" i="17"/>
  <c r="C42" i="17"/>
  <c r="D42" i="17"/>
  <c r="C43" i="17"/>
  <c r="D43" i="17"/>
  <c r="C44" i="17"/>
  <c r="D44" i="17"/>
  <c r="C45" i="17"/>
  <c r="D45" i="17"/>
  <c r="C46" i="17"/>
  <c r="D46" i="17"/>
  <c r="C47" i="17"/>
  <c r="D47" i="17"/>
  <c r="C48" i="17"/>
  <c r="D48" i="17"/>
  <c r="C49" i="17"/>
  <c r="D49" i="17"/>
  <c r="C50" i="17"/>
  <c r="D50" i="17"/>
  <c r="C51" i="17"/>
  <c r="D51" i="17"/>
  <c r="C52" i="17"/>
  <c r="D52" i="17"/>
  <c r="C53" i="17"/>
  <c r="D53" i="17"/>
  <c r="C54" i="17"/>
  <c r="D54" i="17"/>
  <c r="C55" i="17"/>
  <c r="D55" i="17"/>
  <c r="C56" i="17"/>
  <c r="D56" i="17"/>
  <c r="C57" i="17"/>
  <c r="D57" i="17"/>
  <c r="C58" i="17"/>
  <c r="D58" i="17"/>
  <c r="C59" i="17"/>
  <c r="D59"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D12" i="15"/>
  <c r="F12" i="15" s="1"/>
  <c r="D13" i="15"/>
  <c r="F13" i="15" s="1"/>
  <c r="D15" i="15"/>
  <c r="F15" i="15" s="1"/>
  <c r="D16" i="15"/>
  <c r="F16" i="15" s="1"/>
  <c r="D17" i="15"/>
  <c r="F17" i="15" s="1"/>
  <c r="D18" i="15"/>
  <c r="F18" i="15" s="1"/>
  <c r="D19" i="15"/>
  <c r="F19" i="15" s="1"/>
  <c r="D20" i="15"/>
  <c r="F20" i="15" s="1"/>
  <c r="D21" i="15"/>
  <c r="F21" i="15" s="1"/>
  <c r="D22" i="15"/>
  <c r="F22" i="15" s="1"/>
  <c r="D23" i="15"/>
  <c r="F23" i="15" s="1"/>
  <c r="D24" i="15"/>
  <c r="F24" i="15" s="1"/>
  <c r="D25" i="15"/>
  <c r="F25" i="15" s="1"/>
  <c r="D26" i="15"/>
  <c r="F26" i="15" s="1"/>
  <c r="D27" i="15"/>
  <c r="F27" i="15" s="1"/>
  <c r="D28" i="15"/>
  <c r="F28" i="15" s="1"/>
  <c r="D29" i="15"/>
  <c r="F29" i="15" s="1"/>
  <c r="D30" i="15"/>
  <c r="F30" i="15" s="1"/>
  <c r="D31" i="15"/>
  <c r="F31" i="15" s="1"/>
  <c r="D32" i="15"/>
  <c r="F32" i="15" s="1"/>
  <c r="D33" i="15"/>
  <c r="F33" i="15" s="1"/>
  <c r="D34" i="15"/>
  <c r="F34" i="15" s="1"/>
  <c r="D35" i="15"/>
  <c r="F35" i="15" s="1"/>
  <c r="D36" i="15"/>
  <c r="F36" i="15" s="1"/>
  <c r="D37" i="15"/>
  <c r="F37" i="15" s="1"/>
  <c r="D38" i="15"/>
  <c r="F38" i="15" s="1"/>
  <c r="D39" i="15"/>
  <c r="F39" i="15" s="1"/>
  <c r="D40" i="15"/>
  <c r="F40" i="15" s="1"/>
  <c r="D41" i="15"/>
  <c r="F41" i="15" s="1"/>
  <c r="D42" i="15"/>
  <c r="F42" i="15" s="1"/>
  <c r="D43" i="15"/>
  <c r="F43" i="15" s="1"/>
  <c r="D44" i="15"/>
  <c r="F44" i="15" s="1"/>
  <c r="D45" i="15"/>
  <c r="F45" i="15" s="1"/>
  <c r="D46" i="15"/>
  <c r="F46" i="15" s="1"/>
  <c r="D47" i="15"/>
  <c r="F47" i="15" s="1"/>
  <c r="D48" i="15"/>
  <c r="F48" i="15" s="1"/>
  <c r="D49" i="15"/>
  <c r="F49" i="15" s="1"/>
  <c r="D50" i="15"/>
  <c r="F50" i="15" s="1"/>
  <c r="D51" i="15"/>
  <c r="F51" i="15" s="1"/>
  <c r="D52" i="15"/>
  <c r="F52" i="15" s="1"/>
  <c r="D53" i="15"/>
  <c r="F53" i="15" s="1"/>
  <c r="D54" i="15"/>
  <c r="F54" i="15" s="1"/>
  <c r="D55" i="15"/>
  <c r="F55" i="15" s="1"/>
  <c r="D56" i="15"/>
  <c r="F56" i="15" s="1"/>
  <c r="D57" i="15"/>
  <c r="F57" i="15" s="1"/>
  <c r="D58" i="15"/>
  <c r="F58" i="15" s="1"/>
  <c r="D59" i="15"/>
  <c r="F59" i="15" s="1"/>
  <c r="C11" i="27" l="1"/>
  <c r="D11" i="27" s="1"/>
  <c r="E11" i="27"/>
  <c r="B52" i="27"/>
  <c r="B55" i="27"/>
  <c r="B39" i="27"/>
  <c r="B36" i="27"/>
  <c r="B47" i="27"/>
  <c r="B31" i="27"/>
  <c r="B23" i="27"/>
  <c r="C16" i="27"/>
  <c r="E16" i="27"/>
  <c r="D16" i="27"/>
  <c r="B54" i="27"/>
  <c r="B46" i="27"/>
  <c r="B38" i="27"/>
  <c r="B30" i="27"/>
  <c r="B22" i="27"/>
  <c r="B53" i="27"/>
  <c r="B45" i="27"/>
  <c r="B37" i="27"/>
  <c r="B29" i="27"/>
  <c r="B21" i="27"/>
  <c r="E12" i="27"/>
  <c r="B28" i="27"/>
  <c r="B51" i="27"/>
  <c r="B20" i="27"/>
  <c r="B59" i="27"/>
  <c r="B35" i="27"/>
  <c r="B19" i="27"/>
  <c r="E13" i="27"/>
  <c r="D13" i="27"/>
  <c r="B58" i="27"/>
  <c r="B44" i="27"/>
  <c r="B43" i="27"/>
  <c r="B27" i="27"/>
  <c r="E14" i="27"/>
  <c r="D14" i="27"/>
  <c r="B50" i="27"/>
  <c r="B42" i="27"/>
  <c r="B34" i="27"/>
  <c r="B26" i="27"/>
  <c r="B18" i="27"/>
  <c r="B57" i="27"/>
  <c r="B49" i="27"/>
  <c r="B41" i="27"/>
  <c r="B33" i="27"/>
  <c r="B25" i="27"/>
  <c r="C17" i="27"/>
  <c r="D17" i="27"/>
  <c r="E17" i="27"/>
  <c r="D15" i="27"/>
  <c r="C15" i="27"/>
  <c r="E15" i="27"/>
  <c r="B56" i="27"/>
  <c r="B48" i="27"/>
  <c r="B40" i="27"/>
  <c r="B32" i="27"/>
  <c r="B24" i="27"/>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11" i="19"/>
  <c r="C34" i="27" l="1"/>
  <c r="D34" i="27"/>
  <c r="E34" i="27"/>
  <c r="E36" i="27"/>
  <c r="C36" i="27"/>
  <c r="D36" i="27"/>
  <c r="E27" i="27"/>
  <c r="D27" i="27"/>
  <c r="C27" i="27"/>
  <c r="D45" i="27"/>
  <c r="C45" i="27"/>
  <c r="E45" i="27"/>
  <c r="E38" i="27"/>
  <c r="C38" i="27"/>
  <c r="D38" i="27"/>
  <c r="C48" i="27"/>
  <c r="D48" i="27"/>
  <c r="E48" i="27"/>
  <c r="C24" i="27"/>
  <c r="E24" i="27"/>
  <c r="D24" i="27"/>
  <c r="E43" i="27"/>
  <c r="D43" i="27"/>
  <c r="C43" i="27"/>
  <c r="E21" i="27"/>
  <c r="D21" i="27"/>
  <c r="C53" i="27"/>
  <c r="D53" i="27"/>
  <c r="E53" i="27"/>
  <c r="E46" i="27"/>
  <c r="C46" i="27"/>
  <c r="D46" i="27"/>
  <c r="E49" i="27"/>
  <c r="C49" i="27"/>
  <c r="D49" i="27"/>
  <c r="E59" i="27"/>
  <c r="C59" i="27"/>
  <c r="D59" i="27"/>
  <c r="D56" i="27"/>
  <c r="E56" i="27"/>
  <c r="C56" i="27"/>
  <c r="C42" i="27"/>
  <c r="E42" i="27"/>
  <c r="D42" i="27"/>
  <c r="D39" i="27"/>
  <c r="E39" i="27"/>
  <c r="C39" i="27"/>
  <c r="C32" i="27"/>
  <c r="D32" i="27"/>
  <c r="E32" i="27"/>
  <c r="D33" i="27"/>
  <c r="E33" i="27"/>
  <c r="C33" i="27"/>
  <c r="C18" i="27"/>
  <c r="E18" i="27"/>
  <c r="D18" i="27"/>
  <c r="C50" i="27"/>
  <c r="E50" i="27"/>
  <c r="D50" i="27"/>
  <c r="E19" i="27"/>
  <c r="C19" i="27"/>
  <c r="D19" i="27"/>
  <c r="E51" i="27"/>
  <c r="C51" i="27"/>
  <c r="D51" i="27"/>
  <c r="D31" i="27"/>
  <c r="C31" i="27"/>
  <c r="E31" i="27"/>
  <c r="D55" i="27"/>
  <c r="E55" i="27"/>
  <c r="C55" i="27"/>
  <c r="E44" i="27"/>
  <c r="C44" i="27"/>
  <c r="D44" i="27"/>
  <c r="E29" i="27"/>
  <c r="C29" i="27"/>
  <c r="D29" i="27"/>
  <c r="E22" i="27"/>
  <c r="D22" i="27"/>
  <c r="E54" i="27"/>
  <c r="C54" i="27"/>
  <c r="D54" i="27"/>
  <c r="E25" i="27"/>
  <c r="C25" i="27"/>
  <c r="D25" i="27"/>
  <c r="D23" i="27"/>
  <c r="C23" i="27"/>
  <c r="E23" i="27"/>
  <c r="C40" i="27"/>
  <c r="D40" i="27"/>
  <c r="E40" i="27"/>
  <c r="C41" i="27"/>
  <c r="D41" i="27"/>
  <c r="E41" i="27"/>
  <c r="C26" i="27"/>
  <c r="E26" i="27"/>
  <c r="D26" i="27"/>
  <c r="E35" i="27"/>
  <c r="C35" i="27"/>
  <c r="D35" i="27"/>
  <c r="E28" i="27"/>
  <c r="D28" i="27"/>
  <c r="C28" i="27"/>
  <c r="D47" i="27"/>
  <c r="E47" i="27"/>
  <c r="C47" i="27"/>
  <c r="E52" i="27"/>
  <c r="C52" i="27"/>
  <c r="D52" i="27"/>
  <c r="E57" i="27"/>
  <c r="C57" i="27"/>
  <c r="D57" i="27"/>
  <c r="E20" i="27"/>
  <c r="D20" i="27"/>
  <c r="C20" i="27"/>
  <c r="C58" i="27"/>
  <c r="D58" i="27"/>
  <c r="E58" i="27"/>
  <c r="D37" i="27"/>
  <c r="E37" i="27"/>
  <c r="C37" i="27"/>
  <c r="E30" i="27"/>
  <c r="C30" i="27"/>
  <c r="D30" i="27"/>
  <c r="C59" i="19"/>
  <c r="J59" i="19" s="1"/>
  <c r="D59" i="19"/>
  <c r="D50" i="19"/>
  <c r="C50" i="19"/>
  <c r="J50" i="19" s="1"/>
  <c r="D42" i="19"/>
  <c r="C42" i="19"/>
  <c r="J42" i="19" s="1"/>
  <c r="D34" i="19"/>
  <c r="C34" i="19"/>
  <c r="J34" i="19" s="1"/>
  <c r="D26" i="19"/>
  <c r="C26" i="19"/>
  <c r="J26" i="19" s="1"/>
  <c r="D18" i="19"/>
  <c r="C18" i="19"/>
  <c r="J18" i="19" s="1"/>
  <c r="C27" i="19"/>
  <c r="J27" i="19" s="1"/>
  <c r="D27" i="19"/>
  <c r="D41" i="19"/>
  <c r="C41" i="19"/>
  <c r="J41" i="19" s="1"/>
  <c r="D48" i="19"/>
  <c r="C48" i="19"/>
  <c r="J48" i="19" s="1"/>
  <c r="D40" i="19"/>
  <c r="C40" i="19"/>
  <c r="J40" i="19" s="1"/>
  <c r="D32" i="19"/>
  <c r="C32" i="19"/>
  <c r="J32" i="19" s="1"/>
  <c r="D24" i="19"/>
  <c r="C24" i="19"/>
  <c r="J24" i="19" s="1"/>
  <c r="D16" i="19"/>
  <c r="C16" i="19"/>
  <c r="J16" i="19" s="1"/>
  <c r="C43" i="19"/>
  <c r="J43" i="19" s="1"/>
  <c r="D43" i="19"/>
  <c r="D49" i="19"/>
  <c r="C49" i="19"/>
  <c r="J49" i="19" s="1"/>
  <c r="D17" i="19"/>
  <c r="C17" i="19"/>
  <c r="J17" i="19" s="1"/>
  <c r="D55" i="19"/>
  <c r="C55" i="19"/>
  <c r="J55" i="19" s="1"/>
  <c r="D47" i="19"/>
  <c r="C47" i="19"/>
  <c r="J47" i="19" s="1"/>
  <c r="D39" i="19"/>
  <c r="C39" i="19"/>
  <c r="J39" i="19" s="1"/>
  <c r="D31" i="19"/>
  <c r="C31" i="19"/>
  <c r="J31" i="19" s="1"/>
  <c r="D23" i="19"/>
  <c r="C23" i="19"/>
  <c r="J23" i="19" s="1"/>
  <c r="D15" i="19"/>
  <c r="C15" i="19"/>
  <c r="J15" i="19" s="1"/>
  <c r="C35" i="19"/>
  <c r="J35" i="19" s="1"/>
  <c r="D35" i="19"/>
  <c r="D33" i="19"/>
  <c r="C33" i="19"/>
  <c r="J33" i="19" s="1"/>
  <c r="C46" i="19"/>
  <c r="J46" i="19" s="1"/>
  <c r="D46" i="19"/>
  <c r="C38" i="19"/>
  <c r="J38" i="19" s="1"/>
  <c r="D38" i="19"/>
  <c r="C30" i="19"/>
  <c r="J30" i="19" s="1"/>
  <c r="D30" i="19"/>
  <c r="D22" i="19"/>
  <c r="D14" i="19"/>
  <c r="D51" i="19"/>
  <c r="C51" i="19"/>
  <c r="J51" i="19" s="1"/>
  <c r="D58" i="19"/>
  <c r="C58" i="19"/>
  <c r="J58" i="19" s="1"/>
  <c r="D25" i="19"/>
  <c r="C25" i="19"/>
  <c r="J25" i="19" s="1"/>
  <c r="C54" i="19"/>
  <c r="J54" i="19" s="1"/>
  <c r="D54" i="19"/>
  <c r="D45" i="19"/>
  <c r="C45" i="19"/>
  <c r="J45" i="19" s="1"/>
  <c r="C37" i="19"/>
  <c r="J37" i="19" s="1"/>
  <c r="D37" i="19"/>
  <c r="C29" i="19"/>
  <c r="J29" i="19" s="1"/>
  <c r="D29" i="19"/>
  <c r="D21" i="19"/>
  <c r="D13" i="19"/>
  <c r="D19" i="19"/>
  <c r="C19" i="19"/>
  <c r="J19" i="19" s="1"/>
  <c r="D57" i="19"/>
  <c r="C57" i="19"/>
  <c r="J57" i="19" s="1"/>
  <c r="D56" i="19"/>
  <c r="C56" i="19"/>
  <c r="J56" i="19" s="1"/>
  <c r="D53" i="19"/>
  <c r="C53" i="19"/>
  <c r="J53" i="19" s="1"/>
  <c r="D52" i="19"/>
  <c r="C52" i="19"/>
  <c r="J52" i="19" s="1"/>
  <c r="D44" i="19"/>
  <c r="C44" i="19"/>
  <c r="J44" i="19" s="1"/>
  <c r="D36" i="19"/>
  <c r="C36" i="19"/>
  <c r="J36" i="19" s="1"/>
  <c r="D28" i="19"/>
  <c r="C28" i="19"/>
  <c r="J28" i="19" s="1"/>
  <c r="D20" i="19"/>
  <c r="C20" i="19"/>
  <c r="J20" i="19" s="1"/>
  <c r="F35" i="19"/>
  <c r="E35" i="19"/>
  <c r="E58" i="19"/>
  <c r="F58" i="19"/>
  <c r="E34" i="19"/>
  <c r="F34" i="19"/>
  <c r="E57" i="19"/>
  <c r="F57" i="19"/>
  <c r="E49" i="19"/>
  <c r="F49" i="19"/>
  <c r="E41" i="19"/>
  <c r="F41" i="19"/>
  <c r="E33" i="19"/>
  <c r="F33" i="19"/>
  <c r="E25" i="19"/>
  <c r="F25" i="19"/>
  <c r="E17" i="19"/>
  <c r="F17" i="19"/>
  <c r="F43" i="19"/>
  <c r="E43" i="19"/>
  <c r="E50" i="19"/>
  <c r="F50" i="19"/>
  <c r="E26" i="19"/>
  <c r="F26" i="19"/>
  <c r="E56" i="19"/>
  <c r="F56" i="19"/>
  <c r="F48" i="19"/>
  <c r="E48" i="19"/>
  <c r="E40" i="19"/>
  <c r="F40" i="19"/>
  <c r="E32" i="19"/>
  <c r="F32" i="19"/>
  <c r="F24" i="19"/>
  <c r="E24" i="19"/>
  <c r="F16" i="19"/>
  <c r="E16" i="19"/>
  <c r="F51" i="19"/>
  <c r="E51" i="19"/>
  <c r="F19" i="19"/>
  <c r="E19" i="19"/>
  <c r="E42" i="19"/>
  <c r="F42" i="19"/>
  <c r="E18" i="19"/>
  <c r="F18" i="19"/>
  <c r="E55" i="19"/>
  <c r="F55" i="19"/>
  <c r="E47" i="19"/>
  <c r="F47" i="19"/>
  <c r="E39" i="19"/>
  <c r="F39" i="19"/>
  <c r="E31" i="19"/>
  <c r="F31" i="19"/>
  <c r="E23" i="19"/>
  <c r="F23" i="19"/>
  <c r="E15" i="19"/>
  <c r="F15" i="19"/>
  <c r="E38" i="19"/>
  <c r="F38" i="19"/>
  <c r="F59" i="19"/>
  <c r="E59" i="19"/>
  <c r="F27" i="19"/>
  <c r="E27" i="19"/>
  <c r="E54" i="19"/>
  <c r="F54" i="19"/>
  <c r="E30" i="19"/>
  <c r="F30" i="19"/>
  <c r="F53" i="19"/>
  <c r="E53" i="19"/>
  <c r="F45" i="19"/>
  <c r="E45" i="19"/>
  <c r="F37" i="19"/>
  <c r="E37" i="19"/>
  <c r="F29" i="19"/>
  <c r="E29" i="19"/>
  <c r="E46" i="19"/>
  <c r="F46" i="19"/>
  <c r="F52" i="19"/>
  <c r="E52" i="19"/>
  <c r="E44" i="19"/>
  <c r="F44" i="19"/>
  <c r="F36" i="19"/>
  <c r="E36" i="19"/>
  <c r="E28" i="19"/>
  <c r="F28" i="19"/>
  <c r="E20" i="19"/>
  <c r="F20" i="19"/>
  <c r="G11" i="17"/>
  <c r="M19" i="15"/>
  <c r="G19" i="26" s="1"/>
  <c r="M12" i="15"/>
  <c r="M13" i="15"/>
  <c r="G13" i="26" s="1"/>
  <c r="M14" i="15"/>
  <c r="G14" i="26" s="1"/>
  <c r="M15" i="15"/>
  <c r="G15" i="26" s="1"/>
  <c r="M16" i="15"/>
  <c r="G16" i="26" s="1"/>
  <c r="M17" i="15"/>
  <c r="G17" i="26" s="1"/>
  <c r="M18" i="15"/>
  <c r="G18" i="26" s="1"/>
  <c r="M20" i="15"/>
  <c r="G20" i="26" s="1"/>
  <c r="M21" i="15"/>
  <c r="G21" i="26" s="1"/>
  <c r="M22" i="15"/>
  <c r="G22" i="26" s="1"/>
  <c r="M23" i="15"/>
  <c r="G23" i="26" s="1"/>
  <c r="M24" i="15"/>
  <c r="G24" i="26" s="1"/>
  <c r="M25" i="15"/>
  <c r="G25" i="26" s="1"/>
  <c r="M26" i="15"/>
  <c r="G26" i="26" s="1"/>
  <c r="M27" i="15"/>
  <c r="G27" i="26" s="1"/>
  <c r="M28" i="15"/>
  <c r="G28" i="26" s="1"/>
  <c r="M29" i="15"/>
  <c r="G29" i="26" s="1"/>
  <c r="M30" i="15"/>
  <c r="G30" i="26" s="1"/>
  <c r="M31" i="15"/>
  <c r="G31" i="26" s="1"/>
  <c r="M32" i="15"/>
  <c r="G32" i="26" s="1"/>
  <c r="M33" i="15"/>
  <c r="G33" i="26" s="1"/>
  <c r="M34" i="15"/>
  <c r="G34" i="26" s="1"/>
  <c r="M35" i="15"/>
  <c r="G35" i="26" s="1"/>
  <c r="M36" i="15"/>
  <c r="G36" i="26" s="1"/>
  <c r="M37" i="15"/>
  <c r="G37" i="26" s="1"/>
  <c r="M38" i="15"/>
  <c r="G38" i="26" s="1"/>
  <c r="M39" i="15"/>
  <c r="G39" i="26" s="1"/>
  <c r="M40" i="15"/>
  <c r="G40" i="26" s="1"/>
  <c r="M41" i="15"/>
  <c r="G41" i="26" s="1"/>
  <c r="M42" i="15"/>
  <c r="G42" i="26" s="1"/>
  <c r="M43" i="15"/>
  <c r="G43" i="26" s="1"/>
  <c r="M44" i="15"/>
  <c r="G44" i="26" s="1"/>
  <c r="M45" i="15"/>
  <c r="G45" i="26" s="1"/>
  <c r="M46" i="15"/>
  <c r="G46" i="26" s="1"/>
  <c r="M47" i="15"/>
  <c r="G47" i="26" s="1"/>
  <c r="M48" i="15"/>
  <c r="G48" i="26" s="1"/>
  <c r="M49" i="15"/>
  <c r="G49" i="26" s="1"/>
  <c r="M50" i="15"/>
  <c r="G50" i="26" s="1"/>
  <c r="M51" i="15"/>
  <c r="G51" i="26" s="1"/>
  <c r="M52" i="15"/>
  <c r="G52" i="26" s="1"/>
  <c r="M53" i="15"/>
  <c r="G53" i="26" s="1"/>
  <c r="M54" i="15"/>
  <c r="G54" i="26" s="1"/>
  <c r="M55" i="15"/>
  <c r="G55" i="26" s="1"/>
  <c r="M56" i="15"/>
  <c r="G56" i="26" s="1"/>
  <c r="M57" i="15"/>
  <c r="G57" i="26" s="1"/>
  <c r="M58" i="15"/>
  <c r="G58" i="26" s="1"/>
  <c r="M59" i="15"/>
  <c r="G59" i="26" s="1"/>
  <c r="C11" i="19" l="1"/>
  <c r="E11" i="19" s="1"/>
  <c r="E11" i="24"/>
  <c r="E60" i="24" s="1"/>
  <c r="G12" i="26"/>
  <c r="H12" i="27" s="1"/>
  <c r="H60" i="27" s="1"/>
  <c r="R12" i="15"/>
  <c r="R60" i="15" s="1"/>
  <c r="I23" i="19"/>
  <c r="I55" i="19"/>
  <c r="I16" i="19"/>
  <c r="I48" i="19"/>
  <c r="I26" i="19"/>
  <c r="I36" i="19"/>
  <c r="I56" i="19"/>
  <c r="I54" i="19"/>
  <c r="I46" i="19"/>
  <c r="I59" i="19"/>
  <c r="D11" i="19"/>
  <c r="H11" i="19" s="1"/>
  <c r="I25" i="19"/>
  <c r="I33" i="19"/>
  <c r="I31" i="19"/>
  <c r="I17" i="19"/>
  <c r="I24" i="19"/>
  <c r="I41" i="19"/>
  <c r="I34" i="19"/>
  <c r="I44" i="19"/>
  <c r="I57" i="19"/>
  <c r="I29" i="19"/>
  <c r="I58" i="19"/>
  <c r="I39" i="19"/>
  <c r="I49" i="19"/>
  <c r="I32" i="19"/>
  <c r="I42" i="19"/>
  <c r="I20" i="19"/>
  <c r="I52" i="19"/>
  <c r="I19" i="19"/>
  <c r="I37" i="19"/>
  <c r="I30" i="19"/>
  <c r="I35" i="19"/>
  <c r="I27" i="19"/>
  <c r="I45" i="19"/>
  <c r="I51" i="19"/>
  <c r="I15" i="19"/>
  <c r="I47" i="19"/>
  <c r="I40" i="19"/>
  <c r="I18" i="19"/>
  <c r="I50" i="19"/>
  <c r="I28" i="19"/>
  <c r="I53" i="19"/>
  <c r="I38" i="19"/>
  <c r="I43" i="19"/>
  <c r="M60" i="15"/>
  <c r="E60" i="27"/>
  <c r="G35" i="17"/>
  <c r="G58" i="17"/>
  <c r="G42" i="17"/>
  <c r="G34" i="17"/>
  <c r="G26" i="17"/>
  <c r="G17" i="17"/>
  <c r="G57" i="17"/>
  <c r="G49" i="17"/>
  <c r="G41" i="17"/>
  <c r="G33" i="17"/>
  <c r="G25" i="17"/>
  <c r="G16" i="17"/>
  <c r="G50" i="17"/>
  <c r="G56" i="17"/>
  <c r="G48" i="17"/>
  <c r="G40" i="17"/>
  <c r="G32" i="17"/>
  <c r="G24" i="17"/>
  <c r="G15" i="17"/>
  <c r="G59" i="17"/>
  <c r="G27" i="17"/>
  <c r="G47" i="17"/>
  <c r="G46" i="17"/>
  <c r="G51" i="17"/>
  <c r="G18" i="17"/>
  <c r="G31" i="17"/>
  <c r="G54" i="17"/>
  <c r="G38" i="17"/>
  <c r="G30" i="17"/>
  <c r="G22" i="17"/>
  <c r="G13" i="17"/>
  <c r="G53" i="17"/>
  <c r="G45" i="17"/>
  <c r="G37" i="17"/>
  <c r="G29" i="17"/>
  <c r="G21" i="17"/>
  <c r="G12" i="17"/>
  <c r="G43" i="17"/>
  <c r="G55" i="17"/>
  <c r="G39" i="17"/>
  <c r="G23" i="17"/>
  <c r="G14" i="17"/>
  <c r="G52" i="17"/>
  <c r="G44" i="17"/>
  <c r="G36" i="17"/>
  <c r="G28" i="17"/>
  <c r="G20" i="17"/>
  <c r="G19" i="17"/>
  <c r="E69" i="21" l="1"/>
  <c r="L69" i="21" s="1"/>
  <c r="S67" i="21" s="1"/>
  <c r="S66" i="21" s="1"/>
  <c r="S34" i="21" s="1"/>
  <c r="E51" i="29"/>
  <c r="L51" i="29" s="1"/>
  <c r="S49" i="29" s="1"/>
  <c r="S48" i="29" s="1"/>
  <c r="S16" i="29" s="1"/>
  <c r="C12" i="19"/>
  <c r="C12" i="27"/>
  <c r="D12" i="27" s="1"/>
  <c r="D60" i="27" s="1"/>
  <c r="I60" i="27" s="1"/>
  <c r="C14" i="19"/>
  <c r="C14" i="27"/>
  <c r="C13" i="19"/>
  <c r="C13" i="27"/>
  <c r="C22" i="19"/>
  <c r="C22" i="27"/>
  <c r="C21" i="27"/>
  <c r="C21" i="19"/>
  <c r="G10" i="17"/>
  <c r="C10" i="19" s="1"/>
  <c r="G10" i="26"/>
  <c r="E13" i="19" l="1"/>
  <c r="E22" i="19"/>
  <c r="J22" i="19"/>
  <c r="E14" i="19"/>
  <c r="E21" i="19"/>
  <c r="J21" i="19"/>
  <c r="E12" i="19"/>
  <c r="D12" i="19"/>
  <c r="I22" i="19"/>
  <c r="F22" i="19"/>
  <c r="F21" i="19"/>
  <c r="I21" i="19"/>
  <c r="I62" i="27"/>
  <c r="G10" i="29"/>
  <c r="L3" i="29" s="1"/>
  <c r="S3" i="29" s="1"/>
  <c r="S2" i="29" s="1"/>
  <c r="E10" i="24"/>
  <c r="C10" i="27"/>
  <c r="D60" i="19" l="1"/>
  <c r="F13" i="19" s="1"/>
  <c r="H60" i="19"/>
  <c r="E60" i="19"/>
  <c r="I12" i="19" l="1"/>
  <c r="J14" i="19"/>
  <c r="I14" i="19"/>
  <c r="F14" i="19"/>
  <c r="J12" i="19"/>
  <c r="J13" i="19"/>
  <c r="I13" i="19"/>
  <c r="J11" i="19"/>
  <c r="I11" i="19"/>
  <c r="F12" i="19"/>
  <c r="F11" i="19"/>
  <c r="I16" i="21"/>
  <c r="L17" i="21" s="1"/>
  <c r="S13" i="21" s="1"/>
  <c r="S12" i="21" s="1"/>
  <c r="H62" i="19"/>
  <c r="I60" i="19" l="1"/>
  <c r="E25" i="21" s="1"/>
  <c r="L25" i="21" s="1"/>
  <c r="J60" i="19"/>
  <c r="J62" i="19" s="1"/>
  <c r="F60" i="19"/>
  <c r="F62" i="19" s="1"/>
  <c r="S22" i="21"/>
  <c r="S21" i="21" s="1"/>
  <c r="I62" i="19" l="1"/>
  <c r="I25" i="21"/>
  <c r="L26" i="21" s="1"/>
  <c r="E5" i="21"/>
  <c r="L3" i="21" s="1"/>
  <c r="S3" i="21" s="1"/>
  <c r="S2" i="21" s="1"/>
</calcChain>
</file>

<file path=xl/sharedStrings.xml><?xml version="1.0" encoding="utf-8"?>
<sst xmlns="http://schemas.openxmlformats.org/spreadsheetml/2006/main" count="1775" uniqueCount="660">
  <si>
    <t>x</t>
  </si>
  <si>
    <t xml:space="preserve">KOMISIJAS LĒMUMS </t>
  </si>
  <si>
    <t>Līdzekļa nosaukums:</t>
  </si>
  <si>
    <t>Pielikums:</t>
  </si>
  <si>
    <t>Produkta tips:</t>
  </si>
  <si>
    <t xml:space="preserve">Ja noskalojams: Produkta kategorija: </t>
  </si>
  <si>
    <t>Pieteikuma iesniedzējs / licences īpašnieks:</t>
  </si>
  <si>
    <t>Licences numurs:</t>
  </si>
  <si>
    <t>Līdzekļa nosaukums</t>
  </si>
  <si>
    <t>Es apliecinu, ka kandidātprodukts atbilst visām piemērojamajām juridiskajām prasībām valstī vai valstīs, kurās līdzekli ir paredzēts laist tirgū.</t>
  </si>
  <si>
    <t>Es apliecinu, ka esmu pārskatījis(-usi) šo dokumentu, visa iesniegtā informācija ir patiesa un apjomi un vērtības ir norādītas precīzi.</t>
  </si>
  <si>
    <t>Turklāt es paziņoju turpmāk norādīto (zemāk nolaižamajā izvēlnē atlasiet attiecīgo variantu).</t>
  </si>
  <si>
    <t xml:space="preserve">Vārds, uzvārds: </t>
  </si>
  <si>
    <t>Amats uzņēmumā:</t>
  </si>
  <si>
    <t>Datums:</t>
  </si>
  <si>
    <t>2021/1870/ES</t>
  </si>
  <si>
    <t>I pielikums: Kosmētikas līdzeklis</t>
  </si>
  <si>
    <t>Pieejamības valstis</t>
  </si>
  <si>
    <t>Veidne 2021. gada decembris</t>
  </si>
  <si>
    <t>Lietotājs vai izplatītājs (ja atšķiras no licences īpašnieka)</t>
  </si>
  <si>
    <t xml:space="preserve">Produkta apraksts: </t>
  </si>
  <si>
    <t>Iepakojuma izmērs (L)</t>
  </si>
  <si>
    <t>Uzņēmums:</t>
  </si>
  <si>
    <t>Paraksts:</t>
  </si>
  <si>
    <t>Versija:</t>
  </si>
  <si>
    <t>Ražotājs un ražošanas vieta (ja atšķiras no licences īpašnieka)</t>
  </si>
  <si>
    <t xml:space="preserve">Līdzekļa nosaukums: </t>
  </si>
  <si>
    <t xml:space="preserve">Produkta kategorija: </t>
  </si>
  <si>
    <t>Sastāvdaļas tirdzniecības nosaukums</t>
  </si>
  <si>
    <t>Ūdens</t>
  </si>
  <si>
    <t xml:space="preserve">Summa: </t>
  </si>
  <si>
    <t xml:space="preserve">Komentārs </t>
  </si>
  <si>
    <t>Ražotājs</t>
  </si>
  <si>
    <t xml:space="preserve"> </t>
  </si>
  <si>
    <t>Funkcija</t>
  </si>
  <si>
    <t xml:space="preserve">(lūdzu, atlasiet) </t>
  </si>
  <si>
    <t xml:space="preserve">Masa sastāvā  </t>
  </si>
  <si>
    <t>masa – % (= g/100 g produkta)</t>
  </si>
  <si>
    <t>Ir pievienota piegādātāja deklarācija?</t>
  </si>
  <si>
    <t>Ir pievienota DDL?</t>
  </si>
  <si>
    <t>Bīstamības paziņojums</t>
  </si>
  <si>
    <t xml:space="preserve">Izmantotās vielas </t>
  </si>
  <si>
    <t>Vispārīga informācija par produktu:</t>
  </si>
  <si>
    <t>Izmantotā viela</t>
  </si>
  <si>
    <t>Iekļauta primārajā produktā</t>
  </si>
  <si>
    <t>(lūdzu, atlasiet)</t>
  </si>
  <si>
    <t>Aktīvais saturs produktā</t>
  </si>
  <si>
    <t>(%)</t>
  </si>
  <si>
    <r>
      <t>CAS</t>
    </r>
    <r>
      <rPr>
        <i/>
        <sz val="10"/>
        <rFont val="Arial"/>
        <family val="2"/>
      </rPr>
      <t xml:space="preserve"> </t>
    </r>
    <r>
      <rPr>
        <sz val="10"/>
        <rFont val="Arial"/>
        <family val="2"/>
      </rPr>
      <t>Nr.</t>
    </r>
  </si>
  <si>
    <t>Masa sastāvā</t>
  </si>
  <si>
    <t>Ja tiek atklāts H/EUH- paziņojums ar iespējamiem ierobežojumiem, fonts tiek mainīts uz sarkanu</t>
  </si>
  <si>
    <t>Ja H frāze ir ierobežota: atbrīvojums, jo</t>
  </si>
  <si>
    <t>BCF / log Kow</t>
  </si>
  <si>
    <t>Atlasiet konservantus, krāsvielas un UV filtrus</t>
  </si>
  <si>
    <t>BCF / log Kow vērtība</t>
  </si>
  <si>
    <t>Organiska viela</t>
  </si>
  <si>
    <t>Satur palmu / palmu kodolu eļļu</t>
  </si>
  <si>
    <t>Izmantotās vielas – DID numuri</t>
  </si>
  <si>
    <t>DID Nr.</t>
  </si>
  <si>
    <t xml:space="preserve">Sastāvdaļas nosaukums </t>
  </si>
  <si>
    <t>Aizpildiet tikai gadījumā, ja viela nav iekļauta DID sarakstā</t>
  </si>
  <si>
    <t>DF</t>
  </si>
  <si>
    <t>TF hroniskais</t>
  </si>
  <si>
    <t>Aerobs</t>
  </si>
  <si>
    <t>Anaerobs</t>
  </si>
  <si>
    <t>Izņēmums anNBO</t>
  </si>
  <si>
    <t>EC LC50</t>
  </si>
  <si>
    <t>NOEC ECx</t>
  </si>
  <si>
    <t>Vai viela ir bioakumulatīva vai biopieejama?</t>
  </si>
  <si>
    <t xml:space="preserve">Molekulmasa </t>
  </si>
  <si>
    <t>(g/mol)</t>
  </si>
  <si>
    <t>Rezultāti 1. kritērijs Toksiskums ūdens organismiem un 2. kritērijs Bionoārdāmība</t>
  </si>
  <si>
    <t>Aktīvais saturs (AC)</t>
  </si>
  <si>
    <t>(g /100 g produkta)</t>
  </si>
  <si>
    <t>CDV hron</t>
  </si>
  <si>
    <t>( l/ 100 g produkta)</t>
  </si>
  <si>
    <t xml:space="preserve">Ierobežojums: </t>
  </si>
  <si>
    <t>Rezultāts:</t>
  </si>
  <si>
    <t>CDV hroniskais</t>
  </si>
  <si>
    <t>(l/g AC)</t>
  </si>
  <si>
    <t>Virsmaktīvā viela nav viegli bionoārdāma:</t>
  </si>
  <si>
    <t>Virsmaktīvā viela nav anaerobi bionoārdāma</t>
  </si>
  <si>
    <t>Organiska viela nav viegli bionoārdāma</t>
  </si>
  <si>
    <t>(mg/g AC)</t>
  </si>
  <si>
    <t>Organiskā viela nav anaerobi bionoārdāma</t>
  </si>
  <si>
    <t>Rezultāti 3. kritērijs Nenoskalojamo līdzekļu toksiskums ūdens vidē un bionoārdāmība</t>
  </si>
  <si>
    <t>Viegli bionoārdāmas</t>
  </si>
  <si>
    <t>(masas %)</t>
  </si>
  <si>
    <t>Zemākais toksiskums ūdens vidē un nav bioakumulatīvas</t>
  </si>
  <si>
    <t>Zemākais toksiskums ūdens vidē un var būt potenciāli bionoārdāmas</t>
  </si>
  <si>
    <t>Zemākais toksiskums ūdens vidē un nav biopieejamas</t>
  </si>
  <si>
    <t xml:space="preserve">5. b) kritērija rezultāti “Iepakojuma ietekmes pakāpe” (IIP) </t>
  </si>
  <si>
    <t xml:space="preserve">5. c) kritērija rezultāti “Informācija uz primārā iepakojuma un tā dizains” </t>
  </si>
  <si>
    <t>5. d) kritērija rezultāti “Reciklēšanai piemērota plastmasas iepakojuma dizains”</t>
  </si>
  <si>
    <t>Produktam ir iespējama atkārtota uzpilde.</t>
  </si>
  <si>
    <t>Lietošanai mājās paredzētiem produktiem, ko pārdod ar dozatora sūknīti un ko var atvērt, nesabojājot konstrukciju, nodrošina atkārtotas uzpildes iespēju tāda paša vai lielāka tilpuma primārajā iepakojumā.</t>
  </si>
  <si>
    <t xml:space="preserve">Paredzamo atkārtoto uzpilžu skaits (r). </t>
  </si>
  <si>
    <t>Atkārtoto uzpilžu skaitam ir jāatbilst kopējam atkārtoti uzpildāmajam daudzumam (F), noapaļotam līdz lielākajam veselajam skaitlim.</t>
  </si>
  <si>
    <t>Produkts ir iepakots aerosola metāla konteineros.</t>
  </si>
  <si>
    <t>Pareiza dozēšana ir vienkārša, izmantojot dozēšanas sūkni. Šķidrajām roku ziepēm dozatora sūknītis vai dozators, ko pārdod kopā ar līdzekli, ar vienu pilnu nospiešanas reizi ļauj iegūt ne vairāk par 
2 g (vai 3 ml) ziepju. Atkārtoti uzpildāmi iepakojumi ir atbrīvoti no šādas prasības.</t>
  </si>
  <si>
    <t>Ja sūknis nav pievienots: precīza dozēšana ir vienkārša, un mēs apliecinām, ka atvērums augšgalā nav pārāk plats. Atkārtoti uzpildāmi iepakojumi ir atbrīvoti no šādas prasības.</t>
  </si>
  <si>
    <t>Primārais iepakojums</t>
  </si>
  <si>
    <t>Produkta iepakojumā (D) masa gramos</t>
  </si>
  <si>
    <t>Galvenā iepakojuma tilpums (V) ml
(vismaz 150 ml, izņēmums ir zobu pasta)</t>
  </si>
  <si>
    <t>Produkts tiek pārdots ar sekundāro iepakojumu</t>
  </si>
  <si>
    <t>Iepakojumu daudzums sekundārajā iepakojumā</t>
  </si>
  <si>
    <t>Daļa no primārā iepakojuma</t>
  </si>
  <si>
    <t>Daļa no sekundārā iepakojuma</t>
  </si>
  <si>
    <t>Sekundārā iepakojuma proporcionālā masa:</t>
  </si>
  <si>
    <t xml:space="preserve">Iepakojuma svars (W) gramos: </t>
  </si>
  <si>
    <t xml:space="preserve">Neatjaunojamo + nereciklēto masa (N) gramos: </t>
  </si>
  <si>
    <t>(1) Uz primārā iepakojuma etiķetes norāda pareizas izmantojamās devas vai pienācīgo daudzumu un iekļauj šādu teikumu: "Produkta izmantošana pareizās devās mazina ietekmi uz vidi un ļauj ietaupīt naudu."</t>
  </si>
  <si>
    <t>(2) Noteiktiem produktiem pareizo devu konkrētam produktam nevar noteikt, jo tā ir atkarīga no patēriņa aspektiem (piem., apmatojuma garuma), minētā teikuma vietā izmanto šādu teikumu: “Dozējiet produktu piesardzīgi, lai to lieki nelietotu pārāk daudz.”</t>
  </si>
  <si>
    <t>(4) Iekļauj teikumu vai piktogrammu par iztukšota iepakojuma utilizāciju (piem., uz etiķetes jānorāda “iztukšotais iepakojums/trauks jāizmet reciklēšanai paredzētā konteinerā”).</t>
  </si>
  <si>
    <t>Ja (1), (2), (3), (4) uz etiķetes nav attēlots, mēs apliecinām: izmēri neļauj pareizi attēlot vietas trūkuma vai teksta salasāmības dēļ.</t>
  </si>
  <si>
    <t>Primāro iepakojumu var manuāli atvērt un produkta pārpalikumus var dabūt ārā, pievienojot ūdeni.</t>
  </si>
  <si>
    <t>Primārais iepakojums un produkts (m1) gramos.</t>
  </si>
  <si>
    <t>Primārais iepakojums un produkta atlikums normālos lietošanas apstākļos (m2) gramos.</t>
  </si>
  <si>
    <t>Iztukšots un iztīrīts primārais iepakojums (m3) gramos.</t>
  </si>
  <si>
    <t>Iepakojuma elements</t>
  </si>
  <si>
    <t>Trauks</t>
  </si>
  <si>
    <t>Etiķete vai apvalks</t>
  </si>
  <si>
    <t>Līmviela</t>
  </si>
  <si>
    <t>Aizvars</t>
  </si>
  <si>
    <t>Aizturpārklājums</t>
  </si>
  <si>
    <t>(*) Šī prasība neattiecas uz zobu pastas tūbiņām, sūknīšiem un aerosola baloniņiem.</t>
  </si>
  <si>
    <t>Es apliecinu, ka produkta iepakojuma materiāla sastāvā pēc iespējas nav iespējama piesārņojuma un nesaderīgu materiālu, lai veicinātu efektīvu pārstrādi.  Etiķete vai apvalks, aizdare un attiecīgā gadījumā aizturpārklājumi ne atsevišķi, ne kombinācijās nedrīkst ietvert Komisijas lēmuma 8. tabulā uzskaitītos materiālus un sastāvdaļas. Iesniegumam ir pievienotas iepakojuma materiālu ražotāju deklarācijas.</t>
  </si>
  <si>
    <t>Primārā iepakojuma daļas masa g</t>
  </si>
  <si>
    <t>Sekundārā iepakojuma masa g</t>
  </si>
  <si>
    <t xml:space="preserve"> Reciklētā materiāla % primārajā iepakojumā =</t>
  </si>
  <si>
    <t xml:space="preserve">IIP = </t>
  </si>
  <si>
    <t xml:space="preserve">R = </t>
  </si>
  <si>
    <t>Materiāls</t>
  </si>
  <si>
    <t>Reciklēta primārā iepakojuma masa g</t>
  </si>
  <si>
    <t>Jā</t>
  </si>
  <si>
    <t>Neatjaunojamo + nereciklēto kopējā masa g</t>
  </si>
  <si>
    <t>Neatjaunojamo + nereciklēto masa g</t>
  </si>
  <si>
    <t>Nē</t>
  </si>
  <si>
    <t xml:space="preserve">Iepakojuma apraksts: </t>
  </si>
  <si>
    <t>Atkārtoti uzpildāms iepakojums</t>
  </si>
  <si>
    <t>Produkta iepakojumā (D atkārtoti uzpildāms) masa gramos</t>
  </si>
  <si>
    <t>Atkārtotas uzpildes iepakojuma tilpums (V) ml</t>
  </si>
  <si>
    <t xml:space="preserve">Iepakojuma svars (W atkārtoti uzpildāms) gramos: </t>
  </si>
  <si>
    <t xml:space="preserve">Neatjaunojamo + nereciklēto masa (N atkārtoti uzpildāms) gramos: </t>
  </si>
  <si>
    <t>Iekļauj teikumu vai piktogrammu par iztukšota iepakojuma utilizāciju (piem., uz etiķetes jānorāda “iztukšotais iepakojums/trauks jāizmet reciklēšanai paredzētā konteinerā”).</t>
  </si>
  <si>
    <t>Primārais iepakojums (nav dekoratīvā kosmētika)</t>
  </si>
  <si>
    <t>Dekoratīvajai kosmētikai</t>
  </si>
  <si>
    <t>Iepakojuma daļa</t>
  </si>
  <si>
    <t>Galaprodukta svars gramos</t>
  </si>
  <si>
    <t>Produkts ir nenoskalojamais kondicionieris, un tam ir vāciņš, kuru var noņemt, neizmantojot instrumentus.</t>
  </si>
  <si>
    <t>Produkts ir krēms, un pudelei ir vāciņš, kuru var noņemt, neizmantojot instrumentus.</t>
  </si>
  <si>
    <t>Ja produkts ir nenoskalojamais kondicionieris vai krēms pudelē un tam nav vāciņu, kuru var noņemt, neizmantojot instrumentus:</t>
  </si>
  <si>
    <t>(*) Šī prasība neattiecas uz sūknīšiem un aerosola baloniņiem.</t>
  </si>
  <si>
    <t>Es apliecinu, ka produkta iepakojuma materiāla sastāvā pēc iespējas nav iespējama piesārņojuma un nesaderīgu materiālu, lai veicinātu efektīvu pārstrādi.  Etiķete vai apvalks, aizdare un attiecīgā gadījumā aizturpārklājumi ne atsevišķi, ne kombinācijās nedrīkst ietvert 8. tabulā uzskaitītos materiālus un sastāvdaļas. Iesniegumam ir pievienotas iepakojuma materiālu ražotāju deklarācijas.</t>
  </si>
  <si>
    <t>Iepakojuma komponentu masa g</t>
  </si>
  <si>
    <t>Nereciklēto materiālu masa g</t>
  </si>
  <si>
    <t>Atkārtoti uzpildāmais iepakojums (nav dekoratīvā kosmētika)</t>
  </si>
  <si>
    <t>Rezultāti 6. kritērijs Ilgtspējīga palmu eļļas, palmu kodolu eļļas un to atvasinājumu ieguve</t>
  </si>
  <si>
    <t>Atjaunīgā sastāvdaļa</t>
  </si>
  <si>
    <t xml:space="preserve">Verifikācija </t>
  </si>
  <si>
    <t xml:space="preserve">Palmu eļļas vai palmu kodolu eļļas masas bilances sertifikāts tiek pieņemts tikai līdz 2025. gadam </t>
  </si>
  <si>
    <t>RSPO numurs</t>
  </si>
  <si>
    <t>1. kritērijs – Toksiskums ūdens organismiem: Noskalojamo produktu robežatšķaidījums (CDV)</t>
  </si>
  <si>
    <t>2. kritērijs – Noskalojamo līdzekļu bionoārdāmība</t>
  </si>
  <si>
    <t xml:space="preserve">a) </t>
  </si>
  <si>
    <t xml:space="preserve">b) </t>
  </si>
  <si>
    <t>4. kritērijs – Aizliegtas un ierobežotas vielas</t>
  </si>
  <si>
    <t>(i)</t>
  </si>
  <si>
    <t>(ii)</t>
  </si>
  <si>
    <t>(iii)</t>
  </si>
  <si>
    <t xml:space="preserve">c) </t>
  </si>
  <si>
    <t xml:space="preserve">d) </t>
  </si>
  <si>
    <t xml:space="preserve">e) </t>
  </si>
  <si>
    <t xml:space="preserve">f) </t>
  </si>
  <si>
    <t>6. kritērijs – Ilgtspējīga palmu eļļas, palmu kodolu eļļas un to atvasinājumu ieguve</t>
  </si>
  <si>
    <t>7. kritērijs – Piemērotība lietošanai</t>
  </si>
  <si>
    <t xml:space="preserve">8. kritērijs – Informācija ES ekomarķējumā  </t>
  </si>
  <si>
    <t xml:space="preserve">Es apliecinu, ka produkta robežatšķaidījums (CDC hroniskais) ir norādītajās robežās: </t>
  </si>
  <si>
    <t>CDV hroniskais (l/g AC)</t>
  </si>
  <si>
    <t>Ierobežojums CDV (l/g AC)</t>
  </si>
  <si>
    <t>Visas produkta sastāvā iekļautās izmantotās vielas parādās DID saraksta A daļā</t>
  </si>
  <si>
    <t>Virsmaktīvo vielu bionoārdāmība</t>
  </si>
  <si>
    <t>Es apliecinu, ka visas virsmaktīvās vielas, kas iekļautas produktā, ir viegli noārdāmas aerobos apstākļos un bionoārdāmas anaerobos apstākļos.</t>
  </si>
  <si>
    <t>aNBO (mg/g AC)</t>
  </si>
  <si>
    <t>Ierobežojums aNBO (mg/g AC)</t>
  </si>
  <si>
    <t>Es apliecinu, ka virsmaktīvā viela zobu pastās ir izmantota ar tīrīšanas un/vai putošanas funkcijām.</t>
  </si>
  <si>
    <t>Organisko izmantoto vielu bionoārdāmība</t>
  </si>
  <si>
    <t>Es apliecinu, ka organisko vielu, kas nav viegli bionoārdāmas vai anaerobi bionenoārdāmas, sastāvs produktā ir mazāks par norādītajām robežām:</t>
  </si>
  <si>
    <t>Viela ir atbrīvota no prasības par anaerobo bionoārdīšanos</t>
  </si>
  <si>
    <t>Ierobežojumi izmantotajām vielām, kas klasificētas saskaņā ar Regulu (EK) Nr. 1272/2008</t>
  </si>
  <si>
    <t>Ierobežotas vielas</t>
  </si>
  <si>
    <t>Es apliecinu, ka galaprodukts nesatur nevienu no ierobežotajām vielām ar Komisijas lēmumā norādītajiem bīstamības apzīmējumiem un virs norādītajiem sliekšņa līmeņiem.</t>
  </si>
  <si>
    <t xml:space="preserve">Es apliecinu, ka galaprodukts satur turpmāk minētās vielas, uz kurām attiecas atkāpe no ierobežotajām vielām: </t>
  </si>
  <si>
    <t>Es apliecinu, ka galaprodukts satur turpmāk minētās ierobežotās vielas:</t>
  </si>
  <si>
    <t>Aizliegtas vielas</t>
  </si>
  <si>
    <t>Es apliecinu, ka galaprodukts nesatur nevienu no aizliegtajām vielām ar Komisijas lēmumā norādītajiem bīstamības apzīmējumiem neatkarībā no koncentrācijas.</t>
  </si>
  <si>
    <t>Galaprodukts</t>
  </si>
  <si>
    <t>Es apliecinu, ka izmantoto vielu, kuras saskaņā ar Regulu (EK) 1272/2008 ir klasificētas kā videi bīstamas, saturs gala produktā ir mazāks par 2,5 %.</t>
  </si>
  <si>
    <t>Es apliecinu, ka galaprodukts satur turpmāk minētos izņēmumus no izmantotajām vielām, kas klasificētas kā videi bīstamas:</t>
  </si>
  <si>
    <t>Izmantošanai aizliegtās vielas</t>
  </si>
  <si>
    <t>Es apliecinu, ka galaprodukts nesatur nevienu no izmantošanai aizliegtajām vielām, kas uzskaitītas Komisijas lēmuma 4. b) kritērijā.</t>
  </si>
  <si>
    <t>Es apliecinu, ka šīs deklarācijas iesniegšanas dienā ir izmantots aktuālākais endokrīni disruptīvo vielu saraksts.</t>
  </si>
  <si>
    <t>Ierobežojumi attiecībā uz vielām, kas rada ļoti lielas bažas (SVHC)</t>
  </si>
  <si>
    <t xml:space="preserve">Es apliecinu, ka galaprodukts nesatur nevienu izmantoto vielu, kas identificēta saskaņā ar Regulas (ES) Nr. 1907/2006 59. pantā aprakstīto procedūru. </t>
  </si>
  <si>
    <t>Es apliecinu, ka šīs deklarācijas iesniegšanas dienā ir izmantots aktuālākais SVHC saraksts.</t>
  </si>
  <si>
    <t>Smaržvielas</t>
  </si>
  <si>
    <t>Es apliecinu, ka galaprodukts nesatur smaržvielas.</t>
  </si>
  <si>
    <t>Es apliecinu, ka galaprodukts ir paredzēts zīdaiņiem, bērniem, ģimenei un ir apzīmēts ar uzrakstu “maigs / jutīgai ādai”. Tādēļ galaprodukts nesatur smaržvielas.</t>
  </si>
  <si>
    <t>Es apliecinu, ka galaprodukts ir zobu pasta, kas paredzēta bērniem un satur smaržvielas.</t>
  </si>
  <si>
    <t>Es apliecinu, ka visas smaržvielas, kas iekļautas produktā, ir ražotas un apstrādātas saskaņā ar Starptautiskās Smaržvielu asociācijas (IFRA) prakses kodeksu.</t>
  </si>
  <si>
    <t>Konservanti</t>
  </si>
  <si>
    <t>Es apliecinu, ka galaprodukts nesatur konservantus.</t>
  </si>
  <si>
    <t>Es apliecinu, ka visiem konservantiem, kas iekļauti produktā, ir unikāls mērķis saglabāt produktu, tādēļ to devas ir atbilstošas šim mērķim.</t>
  </si>
  <si>
    <t>Es apliecinu, ka galaprodukts nesatur konservantus ar H317 vai H334 bīstamības paziņojumu neatkarīgi no koncentrācijas.</t>
  </si>
  <si>
    <t>Es apliecinu, ka visi produktā esošie konservanti nav bioakumulējoši:</t>
  </si>
  <si>
    <t>Kosmētikas līdzeklis ir paredzēts nonākšanai saskarē ar mutes dobumu. Tāpēc es apliecinu, ka konservanti ir apstiprināti kā pārtikas piedevas saskaņā ar Eiropas Parlamenta un Padomes Regulu (EK) Nr. 1333/2008.</t>
  </si>
  <si>
    <t>Krāsvielas</t>
  </si>
  <si>
    <t>Es apliecinu, ka galaprodukts nesatur krāsvielas.</t>
  </si>
  <si>
    <t>Es apliecinu, ka galaprodukts nesatur krāsvielas ar H317 vai H334 bīstamības paziņojumu neatkarīgi no koncentrācijas.</t>
  </si>
  <si>
    <t>Es apliecinu, ka visas produktā esošās krāsvielas nav bioakumulējošas:</t>
  </si>
  <si>
    <t xml:space="preserve">Es apliecinu, ka galaprodukts satur krāsvielas, kuras apstiprinātas lietošanai pārtikā. </t>
  </si>
  <si>
    <t>Es apliecinu, ka kosmētikas līdzeklis ir matu krāsa. Tāpēc es apliecinu, ka bārija, bismuta, kadmija, kobalta, sešvērtīgā hroma (hroms VI), svina un niķeļa kā piemaisījumu saturs krāsvielās ir mazākas par 10 ppm, un dzīvsudraba, kas parādās kā piemaisījums saturs ir mazāks par 1 ppm.</t>
  </si>
  <si>
    <t>Es apliecinu, ka produkts nesatur izmantotās vielas, kas iegūtas no palmu eļļas vai no palmu kodolu eļļas, kā arī palmu eļļas vai palmu kodolu eļļas ķīmiskos atvasinājumus.</t>
  </si>
  <si>
    <t>Es apliecinu, ka produkts satur izmantotās vielas, kas atvasinātas no palmu eļļas vai palmu kodolu eļļas.</t>
  </si>
  <si>
    <t xml:space="preserve">Es apliecinu, ka galaprodukts ir testēts saskaņā ar nosacījumiem, kas noteikti “Kosmētikas līdzekļu efektivitātes novērtēšanas vadlīnijās”. </t>
  </si>
  <si>
    <t>Es apliecinu, ka gala produkts ir sasniedzis vismaz minimālo spēju izpildīt tā primāro funkciju un jebkuru apgalvoto sekundāro funkciju.</t>
  </si>
  <si>
    <t xml:space="preserve">Es apliecinu, ka logotips ir izmantots saskaņā ar logotipu vadlīnijām. </t>
  </si>
  <si>
    <t>Es apliecinu, ka ES ekomarķējuma reģistrācijas / licences numurs ir norādīts uz produkta
 un tas tiek izmantots saskaņā ar logotipa vadlīnijām.</t>
  </si>
  <si>
    <t>Viela</t>
  </si>
  <si>
    <t>Virsmaktīvā viela</t>
  </si>
  <si>
    <t>Nātrija fluorīds</t>
  </si>
  <si>
    <t>Enzīmi (ieskaitot stabilizētājus un konservantus enzīmu izejvielās), ja tie ir šķidrā formā vai kā granulu kapsulas</t>
  </si>
  <si>
    <t>α-tokoferola acetāts</t>
  </si>
  <si>
    <t>Amidoamīns &lt;0,3 % kā CAPB piemaisījums</t>
  </si>
  <si>
    <t>Aprēķins 4. a) iii =</t>
  </si>
  <si>
    <t>Cinka savienojumi</t>
  </si>
  <si>
    <t xml:space="preserve">BCF: </t>
  </si>
  <si>
    <t>Es apliecinu, ka palmu eļļa vai palmu kodolu eļļa, kas izmantota šo vielu ražošanā, ir iegūta no ilgtspējīgi apsaimniekotām plantācijām.</t>
  </si>
  <si>
    <t>Es apliecinu, ka uz palmu eļļu vai palmu kodolu eļļu, kas izmantota šo izmantoto vielu ražošanā, attiecas pārraudzības ķēžu sertifikāti (CoC).</t>
  </si>
  <si>
    <t>H412</t>
  </si>
  <si>
    <t>H301</t>
  </si>
  <si>
    <t>H410</t>
  </si>
  <si>
    <t>Vielas nosaukums</t>
  </si>
  <si>
    <t>vai</t>
  </si>
  <si>
    <t>anNBO (mg/g AC)</t>
  </si>
  <si>
    <t>Ierobežojums anNBO (mg/g AC)</t>
  </si>
  <si>
    <t>log Kow:</t>
  </si>
  <si>
    <t>Koncentrācija galaproduktā (%)</t>
  </si>
  <si>
    <t>Jāpievieno apliecinoša informācija:</t>
  </si>
  <si>
    <t>Piegādātāja deklarācijas</t>
  </si>
  <si>
    <t>Sastāvdaļu DDL</t>
  </si>
  <si>
    <t xml:space="preserve">Pārbaudes rezultāti: ziņojums par laboratorijas vai patērētāju testu rezultātiem, lai pierādītu efektivitāti </t>
  </si>
  <si>
    <t xml:space="preserve">Produkta etiķetes paraugs vai iepakojuma, uz kura ir izvietots ES ekomarķējums, ilustrācija. </t>
  </si>
  <si>
    <t>Verifikācija CB</t>
  </si>
  <si>
    <t>3. kritērijs – Nenoskalojamo līdzekļu toksiskums ūdens vidē un bionoārdāmība</t>
  </si>
  <si>
    <t xml:space="preserve">g) </t>
  </si>
  <si>
    <t>Es apliecinu, ka vismaz 95 % no kopējās organisko vielu koncentrācijas atbilst vienam no šādiem nosacījumiem:</t>
  </si>
  <si>
    <t>-</t>
  </si>
  <si>
    <t>% vielu, kuras atbilst prasībai</t>
  </si>
  <si>
    <t xml:space="preserve">Es apliecinu, ka galaprodukts satur turpmāk minētās vielas, uz kurām attiecas atkāpe no aizliegtām vielām: </t>
  </si>
  <si>
    <t>Es apliecinu, ka produkts ir lūpu kopšanas līdzeklis un satur minerāleļļu piesātinātos ogļūdeņražus (MOSH) un minerāleļļu aromātiskos ogļūdeņražus (MOAH).</t>
  </si>
  <si>
    <t>Kosmētikas līdzeklis ir dekoratīvā kosmētika. Tāpēc es apliecinu, ka bārija, bismuta, kadmija, kobalta, sešvērtīgā hroma (hroms VI), svina un niķeļa kā piemaisījumu saturs krāsvielās ir mazākas par 10 ppm, un dzīvsudraba, kas parādās kā piemaisījums saturs ir mazāks par 1 ppm.</t>
  </si>
  <si>
    <t>UV filtri</t>
  </si>
  <si>
    <t>Es paziņoju, ka galaprodukta mērķis ir lietotāja aizsardzība no saules.</t>
  </si>
  <si>
    <t>Es apliecinu, ka visiem UV filtriem, kas iekļauti galaproduktā, ir unikāls mērķis aizsargāt lietotāju no saules.</t>
  </si>
  <si>
    <t>Es apliecinu, ka visi produktā esošie UV filtri nav bioakumulējoši vai tiem ir mazākais toksiskums:</t>
  </si>
  <si>
    <t>Es apliecinu, ka galapradukts satur nano-TiO2, un nano-TiO2, kas iekļauts galaproduktā, izpilda nosacījumus, kas noteikti Regulas (EK) Nr. 1223/2009 VI pielikumā.</t>
  </si>
  <si>
    <t>viegli bionoārdāmas</t>
  </si>
  <si>
    <t>zemākais toksiskums ūdens vidē NOEC/ECx &gt; 0,1 mg/l vai EC/LC50 &gt; 10,0 mg/l un nav bioakumulatīvas</t>
  </si>
  <si>
    <t>zemākais toksiskums ūdens vidē NOEC/ECx &gt; 0,1 mg/l vai EC/LC50 &gt; 10,0 mg/l un var būt potenciāli bionoārdāmas</t>
  </si>
  <si>
    <t>zemākais toksiskums ūdens vidē NOEC/ECx &gt; 0,1 mg/l vai EC/LC50 &gt; 10,0 mg/l un nav biopieejamas</t>
  </si>
  <si>
    <t>Titāna dioksīds (nanoformā)</t>
  </si>
  <si>
    <t>Produkts atbilst SCCS/1516/13, SCCS/1580/16 un SCCS/1583/17.</t>
  </si>
  <si>
    <t>Produkts netiek izmantots pulverveidā vai izsmidzināmā veidā</t>
  </si>
  <si>
    <t>Es apliecinu atbilstību Cosmetics Europe rekomendācijām minerāleļļām.</t>
  </si>
  <si>
    <t>NOEC ECx:</t>
  </si>
  <si>
    <t>EC/LC50:</t>
  </si>
  <si>
    <t>H351</t>
  </si>
  <si>
    <t>Izejvielu DDL</t>
  </si>
  <si>
    <t>Mazgāšanas līdzekļu sastāvdaļu datubāze, 2016. gada redakcija. A daļa:</t>
  </si>
  <si>
    <t>nav iekļauts</t>
  </si>
  <si>
    <t>Anjonu virsmaktīvās vielas</t>
  </si>
  <si>
    <t>Nejonu virsmaktīvās vielas (****)</t>
  </si>
  <si>
    <t>Amfoteriskās virsmaktīvās vielas</t>
  </si>
  <si>
    <t>Katjonu virsmaktīvās vielas</t>
  </si>
  <si>
    <t>Konservanti (****)</t>
  </si>
  <si>
    <t>Citas sastāvdaļas (****)</t>
  </si>
  <si>
    <t>Sastāvdaļas nosaukums</t>
  </si>
  <si>
    <t>C10-13 lineāri alkilbenzolsulfonāti</t>
  </si>
  <si>
    <t>C14-16 alkilsulfonāts</t>
  </si>
  <si>
    <t>C8-10 alkilsulfāts</t>
  </si>
  <si>
    <t>C10 alkilsulfāts</t>
  </si>
  <si>
    <t>C 12-14 alkilsulfāts</t>
  </si>
  <si>
    <t>C 12-18 alkilsulfāts</t>
  </si>
  <si>
    <t>C 16-18 alkilsulfāts</t>
  </si>
  <si>
    <t>C8-12 alkilētera sulfāts, pāra un nepāra numura, 1-3 EO</t>
  </si>
  <si>
    <t>C12-18 alkilētera sulfāts, pāra un nepāra numura, 1-3 EO</t>
  </si>
  <si>
    <t>C 16-18 alkilētera sulfāts, ≥1 - ≤ 4 EO</t>
  </si>
  <si>
    <t>Mono-C12-14 alkilsulfosukcināts</t>
  </si>
  <si>
    <t>Mono-C12-18 alkilsulfosukcināts</t>
  </si>
  <si>
    <t>Mono-C16-18 alkilsulfosukcināts</t>
  </si>
  <si>
    <t>di-C4-6 alkilsulfosukcināts</t>
  </si>
  <si>
    <t>di-2-etilheksilsulfosukcināts</t>
  </si>
  <si>
    <t>di-C10-6 alkilsulfosukcināts</t>
  </si>
  <si>
    <t>di-C13-6 alkilsulfosukcināts</t>
  </si>
  <si>
    <t>Alkilaminosulfosukcināti (pāra)</t>
  </si>
  <si>
    <t>Alkilamino[etil]sulfosukcināti (pāra)</t>
  </si>
  <si>
    <t>Asparagīnskābe, N-(3-karboksi-1-okso-sulfopropil)-N-(C16-C18 (pāra), C18 nepiesātinātie alkil) tetranātrija sāļi</t>
  </si>
  <si>
    <t>C12-14 Taukskābju metilestera sulfonāts</t>
  </si>
  <si>
    <t>C16-18 Taukskābju metilestera sulfonāts</t>
  </si>
  <si>
    <t>C14-16 alfa olefīna sulfonāts</t>
  </si>
  <si>
    <t>C14-18 alfa olefīna sulfonāts</t>
  </si>
  <si>
    <t>Ziepes C&gt;12-22 (Piezīme: taukskābes ir norādītas DID 2520)</t>
  </si>
  <si>
    <t>Lauroilsarkozināts</t>
  </si>
  <si>
    <t>C9-11, ≥2 - ≤10 EO karboksimetilēts, nātrija sāls vai skābe</t>
  </si>
  <si>
    <t>C12-18, ≥2 - ≤10 EO karboksimetilēts, nātrija sāls vai skābe</t>
  </si>
  <si>
    <t>C12-18 alkilfosfāta esteri</t>
  </si>
  <si>
    <t>izo C13 alkilfosfāta esteri, 3 EO</t>
  </si>
  <si>
    <t>Nātrija kokoilglutamāts</t>
  </si>
  <si>
    <t>Nātrija lauroilmetilizetionāts</t>
  </si>
  <si>
    <t>2-propilheptilspirts, &gt;2,5 - ≤10 EO</t>
  </si>
  <si>
    <t>C10 spirts, ≥ 5 - ≤11 EO daudzzaru (trimer-propen-okso-spirts)</t>
  </si>
  <si>
    <t>C12-14 spirts, ≥5 - ≤8 EO 1 t-BuO (gala vāciņš)</t>
  </si>
  <si>
    <r>
      <t xml:space="preserve">izo-C13 spirts, ≤ </t>
    </r>
    <r>
      <rPr>
        <sz val="10"/>
        <rFont val="Arial"/>
        <family val="2"/>
      </rPr>
      <t>2,5 EO</t>
    </r>
  </si>
  <si>
    <r>
      <t xml:space="preserve">izo-C13 spirts, &gt;2,5 - ≤6 </t>
    </r>
    <r>
      <rPr>
        <sz val="10"/>
        <rFont val="Arial"/>
        <family val="2"/>
      </rPr>
      <t>EO</t>
    </r>
  </si>
  <si>
    <r>
      <t xml:space="preserve">izo-C13 spirts, ≥7 - &lt;20 </t>
    </r>
    <r>
      <rPr>
        <sz val="10"/>
        <rFont val="Arial"/>
        <family val="2"/>
      </rPr>
      <t>EO</t>
    </r>
  </si>
  <si>
    <t>C12-15 spirts, ≥2 - ≤6 EO, ≥2 - ≤6 PO</t>
  </si>
  <si>
    <t>C10-16 spirts, 6 un 7 EO, ≤3 PO</t>
  </si>
  <si>
    <t>C12-18 Alkilglicerīna esteris (pāra), 1-6,5 EO</t>
  </si>
  <si>
    <t>C12-18 Alkilglicerīna esteris (pāra), &gt;6,5-17 EO</t>
  </si>
  <si>
    <t>C4-10 Alkilpoliglikozīds</t>
  </si>
  <si>
    <t>C8-12 alkilpoliglikozīds, sazarots</t>
  </si>
  <si>
    <t>C 12-14 alkilpoliglikozīds</t>
  </si>
  <si>
    <t>C 16-18 alkilpoliglikozīds</t>
  </si>
  <si>
    <t>N1 C8-18 alkanolamīds (pāra)</t>
  </si>
  <si>
    <t>Kokosriekstu taukskābes monoetanolamīds 4 un 5 EO</t>
  </si>
  <si>
    <t>N2 C8-18 alkanolamīds</t>
  </si>
  <si>
    <t>PEG-4 Rapšu amīds</t>
  </si>
  <si>
    <t>Amīni, kokoss, ≥10 - ≤15 EO</t>
  </si>
  <si>
    <t>Amīni, tauki, ≤2,5 EO</t>
  </si>
  <si>
    <t>Amīni, tauki, ≥5 - ≤11 EO</t>
  </si>
  <si>
    <t>Amīni, tauki, ≥20 - ≤50 EO</t>
  </si>
  <si>
    <t>Amīni, C18 piesātināti un nepiesātināti, ≤2,5 EO</t>
  </si>
  <si>
    <t>Amīni, C18 piesātināti un nepiesātināti, ≥5 - ≤15 EO</t>
  </si>
  <si>
    <t>Amīni, C18 piesātināti un nepiesātināti, ≥20 - ≤25 EO</t>
  </si>
  <si>
    <t>C12 sorbitāna monoesteris, 20 EO (polisorbāts 20)</t>
  </si>
  <si>
    <t>C18 sorbitāna monoesteris, 20 EO</t>
  </si>
  <si>
    <t>C8-10 Sorbitāna mono- vai diesteris</t>
  </si>
  <si>
    <t>Sorbitāna stearāts</t>
  </si>
  <si>
    <t>C12-14 taukskābes metilesteris (MEE), 1-30 EO</t>
  </si>
  <si>
    <r>
      <t xml:space="preserve">C8-11 spirts, pārsvarā lineārs, ≤ </t>
    </r>
    <r>
      <rPr>
        <sz val="10"/>
        <rFont val="Arial"/>
        <family val="2"/>
      </rPr>
      <t>2,5 EO</t>
    </r>
  </si>
  <si>
    <r>
      <t xml:space="preserve">C8-11 spirts, pārsvarā lineārs, &gt;2,5 - ≤10 </t>
    </r>
    <r>
      <rPr>
        <sz val="10"/>
        <rFont val="Arial"/>
        <family val="2"/>
      </rPr>
      <t>EO</t>
    </r>
  </si>
  <si>
    <r>
      <t xml:space="preserve">C8-11 spirts, pārsvarā lineārs, &gt;10 </t>
    </r>
    <r>
      <rPr>
        <sz val="10"/>
        <rFont val="Arial"/>
        <family val="2"/>
      </rPr>
      <t>EO</t>
    </r>
  </si>
  <si>
    <r>
      <t>C9-11 spirts, sazarots, ≤</t>
    </r>
    <r>
      <rPr>
        <sz val="10"/>
        <rFont val="Arial"/>
        <family val="2"/>
      </rPr>
      <t>2,5 EO</t>
    </r>
  </si>
  <si>
    <t>C 9-11 spirts, sazarots, &gt;2.5 - ≤10 EO</t>
  </si>
  <si>
    <t>C 9-11 spirts, sazarots, &gt;10 EO</t>
  </si>
  <si>
    <t>C12-16 spirts, pārsvarā lineārs, ≤2,5 EO</t>
  </si>
  <si>
    <t>C12-16 spirts, pārsvarā lineārs, &gt;2,5 - ≤5 EO</t>
  </si>
  <si>
    <t>C12-16 spirts, pārsvarā lineārs, &gt;5 - ≤10 EO</t>
  </si>
  <si>
    <t>C14-15 spirts, pārsvarā lineārs, ≤2,5 EO</t>
  </si>
  <si>
    <r>
      <t xml:space="preserve">C14-15 spirts, pārsvarā lineārs, &gt;2,5 - ≤10 </t>
    </r>
    <r>
      <rPr>
        <sz val="10"/>
        <rFont val="Arial"/>
        <family val="2"/>
      </rPr>
      <t>EO</t>
    </r>
  </si>
  <si>
    <t>C12-16 spirts, pārsvarā lineārs, &gt;10 - &lt;20 EO</t>
  </si>
  <si>
    <t>C12-16 spirts, pārsvarā lineārs, &gt;20 - &lt;30 EO</t>
  </si>
  <si>
    <t>C12-16 spirts, pārsvarā lineārs, ≥30 EO</t>
  </si>
  <si>
    <t>C12-18 spirts, pārsvarā lineārs, ≤2,5 EO</t>
  </si>
  <si>
    <t>C12-18 spirts, pārsvarā lineārs, &gt;2,5 - ≤5 EO</t>
  </si>
  <si>
    <t>C12-18 spirts, pārsvarā lineārs, &gt;5 - ≤10 EO</t>
  </si>
  <si>
    <t>C12-18 spirts, pārsvarā lineārs, &gt; 10 EO</t>
  </si>
  <si>
    <t>C16-18 spirts, pārsvarā lineārs, ≤2,5 EO</t>
  </si>
  <si>
    <t>C16-18 spirts, pārsvarā lineārs, &gt;2,5 - ≤8 EO</t>
  </si>
  <si>
    <t>C16-18 spirts, pārsvarā lineārs, &gt;9 - ≤19 EO</t>
  </si>
  <si>
    <t>C16-18 spirts, pārsvarā lineārs, ≥20 - ≤30 EO</t>
  </si>
  <si>
    <t>C16-18 spirts, pārsvarā lineārs, &gt; 30 EO</t>
  </si>
  <si>
    <t>Amīni, tauki, ≥12 - ≤19 EO</t>
  </si>
  <si>
    <t>C12-15 alkildimetilbetains</t>
  </si>
  <si>
    <t>C8-18 alkilamidopropilbetaīni</t>
  </si>
  <si>
    <t>C12-18 alkilamīna oksīds</t>
  </si>
  <si>
    <t>C12-14 alkilamidopropilamīna oksīds</t>
  </si>
  <si>
    <t>C12-18 alkilamidopropilamīna oksīds</t>
  </si>
  <si>
    <t>C10-18 alkildimetilamīna oksīds</t>
  </si>
  <si>
    <t>C8-18 amfoacetāti</t>
  </si>
  <si>
    <t>C8-16 alkiltrimetil vai benzildimetil ceturtējie amonija sāļi</t>
  </si>
  <si>
    <t>C16-18 alkilbenzildimetilceturtējie amonija sāļi</t>
  </si>
  <si>
    <t>tri C16-18 esterkvāti</t>
  </si>
  <si>
    <t>di C16-18 esterkvāti</t>
  </si>
  <si>
    <t>1,2-benzizotiazol-3-ons (BIT)</t>
  </si>
  <si>
    <t>Benzilspirts</t>
  </si>
  <si>
    <t>5-bromo-5-nitro-1,3-dioksāns</t>
  </si>
  <si>
    <t>2-brom-2-nitropropān-1,3-diols (piezīme: formaldehīda donors)</t>
  </si>
  <si>
    <t>Hloracetamīds</t>
  </si>
  <si>
    <t>Diazolinidilurīnviela</t>
  </si>
  <si>
    <t>Formaldehīds</t>
  </si>
  <si>
    <t>Glutaraldehīds</t>
  </si>
  <si>
    <t>CMI + MI maisījumā 3:1 (CAS 55965-84-9) (§)</t>
  </si>
  <si>
    <t>2-metil-2H-izotiazol-3-ons (MI)</t>
  </si>
  <si>
    <t>Metildibromglutaronitrils</t>
  </si>
  <si>
    <t>Metil-, etil- un propilparabēns</t>
  </si>
  <si>
    <t>o-fenilfenols</t>
  </si>
  <si>
    <t>Nātrija benzoāts</t>
  </si>
  <si>
    <t>Nātrija hidroksimetilglicināts</t>
  </si>
  <si>
    <t>Triklozāns</t>
  </si>
  <si>
    <t>Fenoksietanols</t>
  </si>
  <si>
    <t>Sorbāts un sorbīnskābe</t>
  </si>
  <si>
    <t>N-(3-aminopropil)-N-dodecilpropān-1,3-diamīns</t>
  </si>
  <si>
    <t>Fenoksipropanols</t>
  </si>
  <si>
    <t>Parafīns (CAS 8002-74-2)</t>
  </si>
  <si>
    <t>Glicerīns, sorbīts un ksilīts</t>
  </si>
  <si>
    <t>Fosfāts kā STPP</t>
  </si>
  <si>
    <t>Ceolīts (nešķīstošs neorganisks)</t>
  </si>
  <si>
    <t>Citrāts un citronskābe</t>
  </si>
  <si>
    <t>Polikarboksilātu akrilskābes homopolimērs</t>
  </si>
  <si>
    <t>Polikarboksilātu akrila/maleīnskābes kopolimērs</t>
  </si>
  <si>
    <t>Nitrilotriacetāts (NTA)</t>
  </si>
  <si>
    <t>GLDA</t>
  </si>
  <si>
    <t>EDTA</t>
  </si>
  <si>
    <t>Fosfāti</t>
  </si>
  <si>
    <t>EDDS</t>
  </si>
  <si>
    <t>Karboksimetilinulīns (CMI)</t>
  </si>
  <si>
    <t>Māls (nešķīstošs neorganisks)</t>
  </si>
  <si>
    <t>Karbonāti</t>
  </si>
  <si>
    <t>Augu eļļa</t>
  </si>
  <si>
    <t>Augu eļļa (hidrogenēta)</t>
  </si>
  <si>
    <t>Laurīnskābe (C12:0)</t>
  </si>
  <si>
    <t>Taukskābes, C≥14-C≤22 (pāra) (Piezīme: ziepes ir norādītas DID 2025)</t>
  </si>
  <si>
    <t>Taukskābes, C≥6-C≤12 metilesteris</t>
  </si>
  <si>
    <t>Lanolīns</t>
  </si>
  <si>
    <t>Šķīstošie silikāti</t>
  </si>
  <si>
    <t>Poliasparagīnskābe, Na-sāls</t>
  </si>
  <si>
    <t>Perborāti (kā bors)</t>
  </si>
  <si>
    <t>Perkarbonāts</t>
  </si>
  <si>
    <t>H2O2</t>
  </si>
  <si>
    <t>Tetraacetiletilēndiamīns (TAED)</t>
  </si>
  <si>
    <t>C1-C3 spirti</t>
  </si>
  <si>
    <t>Cetilspirts un cetearilspirts</t>
  </si>
  <si>
    <t>Mono-, di- un trietanolamīns</t>
  </si>
  <si>
    <t>Polivinilpirolidons (PVP)</t>
  </si>
  <si>
    <t>Karboksimetilceluloze (CMC)</t>
  </si>
  <si>
    <t>Nātrija un magnija sulfāts</t>
  </si>
  <si>
    <t>Kalcija un nātrija hlorīds</t>
  </si>
  <si>
    <t>Urīnviela</t>
  </si>
  <si>
    <t>Silīcija dioksīds, kvarcs (nešķīstošs neorganisks)</t>
  </si>
  <si>
    <t>Polietilēnglikols, MW≥4100</t>
  </si>
  <si>
    <t>Polietilēnglikols, MW&lt;4100</t>
  </si>
  <si>
    <t>Kumensulfonāti</t>
  </si>
  <si>
    <t>Ksilola sulfonāts</t>
  </si>
  <si>
    <t>Na-/Mg-/KOH</t>
  </si>
  <si>
    <t>Amonjaks</t>
  </si>
  <si>
    <t>Olbaltumvielas, izņemot fermentus</t>
  </si>
  <si>
    <t>Olbaltumvielu hidrolizāti, kviešu lipeklis</t>
  </si>
  <si>
    <t>Proteāze (aktīvais enzīma proteīns)</t>
  </si>
  <si>
    <t>Neproteāze (aktīvs enzīmu proteīns)</t>
  </si>
  <si>
    <t>But-2-one (MEK)</t>
  </si>
  <si>
    <t>Smaržviela, ja cits nav norādīts (**)</t>
  </si>
  <si>
    <t>Krāsas, ja cits nav norādīts (**)</t>
  </si>
  <si>
    <t>Polisaharīdi, ieskaitot cieti</t>
  </si>
  <si>
    <t>Anjonu poliesters</t>
  </si>
  <si>
    <t>PVNO/PVPI</t>
  </si>
  <si>
    <t>Zn ftalocianīna sulfonāts</t>
  </si>
  <si>
    <t>Iminodisukcināts</t>
  </si>
  <si>
    <t>FWA 1</t>
  </si>
  <si>
    <t>FWA 5</t>
  </si>
  <si>
    <t>1-dekanols</t>
  </si>
  <si>
    <t>Metillaurāts</t>
  </si>
  <si>
    <t>Skudrskābe (Ca sāls)</t>
  </si>
  <si>
    <t>Adipīnskābe</t>
  </si>
  <si>
    <t>Maleīnskābe</t>
  </si>
  <si>
    <t>Ābolskābe</t>
  </si>
  <si>
    <t>Vīnskābe</t>
  </si>
  <si>
    <t>Fosforskābe</t>
  </si>
  <si>
    <t>Skābeņskābe</t>
  </si>
  <si>
    <t>Etiķskābe</t>
  </si>
  <si>
    <t>Pienskābe</t>
  </si>
  <si>
    <t>Sulfamīnskābe</t>
  </si>
  <si>
    <t>Salicilskābe</t>
  </si>
  <si>
    <t>Glikolskābe</t>
  </si>
  <si>
    <t>Glutārskābe</t>
  </si>
  <si>
    <t>Malonskābe</t>
  </si>
  <si>
    <t>Etilēna glikols</t>
  </si>
  <si>
    <t>Etilēnglikola monobutilēteris</t>
  </si>
  <si>
    <t>Dietilēnglikols</t>
  </si>
  <si>
    <t>Dietilēnglikola monometilēteris</t>
  </si>
  <si>
    <t>Dietilēnglikola monoetilēteris</t>
  </si>
  <si>
    <t>Dietilēnglikola monobutilēteris</t>
  </si>
  <si>
    <t>Dietilēnglikola dimetilēters</t>
  </si>
  <si>
    <t>Propilēnglikols</t>
  </si>
  <si>
    <t>Propilēnglikola monometilēteris</t>
  </si>
  <si>
    <t>Propilēnglikola monobutilēteris</t>
  </si>
  <si>
    <t>Dipropilēnglikols</t>
  </si>
  <si>
    <t>Dipropilēnglikola monometilēteris</t>
  </si>
  <si>
    <t>Dipropilēnglikola monobutilēteris</t>
  </si>
  <si>
    <t>Dipropilēnglikola dimetilēters</t>
  </si>
  <si>
    <t>Trietilēnglikols</t>
  </si>
  <si>
    <t>Taleļļa</t>
  </si>
  <si>
    <t>Etilēnbisstearamīdi</t>
  </si>
  <si>
    <t>Nātrija glikonāts</t>
  </si>
  <si>
    <t>Glikola distearāts</t>
  </si>
  <si>
    <t>Hidroksiletilceluloze</t>
  </si>
  <si>
    <t>Hidroksipropilmetilceluloze</t>
  </si>
  <si>
    <t>1-metil-2-pirolidons</t>
  </si>
  <si>
    <t>Ksantāna sveķi</t>
  </si>
  <si>
    <t>Trimetilpentāndiola monoizobutirāts</t>
  </si>
  <si>
    <t>Benzotriazols</t>
  </si>
  <si>
    <t>Piperidinola-propāntrikarboksilāta sāls</t>
  </si>
  <si>
    <t>Dietilaminopropil-DAS</t>
  </si>
  <si>
    <t>Metilbenzamīds-DAS</t>
  </si>
  <si>
    <t>Pentaeritritola-tetrakis-fenola-propionāts</t>
  </si>
  <si>
    <t>Bloku polimēri ***</t>
  </si>
  <si>
    <t>Denatonija benzoāts</t>
  </si>
  <si>
    <t>Sukcināts</t>
  </si>
  <si>
    <t>Poliasparagīnskābe</t>
  </si>
  <si>
    <t>Mn-saltren (CAS 61007-89-4)</t>
  </si>
  <si>
    <t>Trinātrija metilglicīna diacetāts</t>
  </si>
  <si>
    <t>Tokoferola acetāts</t>
  </si>
  <si>
    <t>Etilheksilsalicilāts</t>
  </si>
  <si>
    <t>Etilheksiltriazons</t>
  </si>
  <si>
    <t>Oktokrilēns</t>
  </si>
  <si>
    <t>Bis-etilheksiloksifenola metoksifeniltriazīns</t>
  </si>
  <si>
    <t>Butilmetoksidibenzoilmetāns</t>
  </si>
  <si>
    <t>e-ftaloimidoperoksiheksānskābe</t>
  </si>
  <si>
    <t>Metānsulfonskābe</t>
  </si>
  <si>
    <t>Alveja</t>
  </si>
  <si>
    <t>Pantenols</t>
  </si>
  <si>
    <t>Kaprilglikols</t>
  </si>
  <si>
    <t>Glicerīdi, C14-18 un C16-18-nepiesātināti. mono-, di- un tri-</t>
  </si>
  <si>
    <t>Lineārie polidimetilsiloksāni</t>
  </si>
  <si>
    <t>Akūts toksiskums</t>
  </si>
  <si>
    <t>LC50/ EC50 (*)</t>
  </si>
  <si>
    <t>SF (*) (Akūtais)</t>
  </si>
  <si>
    <t>TF (Akūtais)</t>
  </si>
  <si>
    <t>Hronisks toksiskums</t>
  </si>
  <si>
    <t>NOEC (*)</t>
  </si>
  <si>
    <t>SF (*) (Hroniskais)</t>
  </si>
  <si>
    <t>TF (Hroniskais)</t>
  </si>
  <si>
    <t>Noārdīšanās</t>
  </si>
  <si>
    <t>R</t>
  </si>
  <si>
    <t>I</t>
  </si>
  <si>
    <t>P</t>
  </si>
  <si>
    <t>O</t>
  </si>
  <si>
    <t>NA</t>
  </si>
  <si>
    <t>N</t>
  </si>
  <si>
    <t>Y</t>
  </si>
  <si>
    <t>Mazgāšanas līdzekļu sastāvdaļu datubāze, 2016. gada redakcija. B daļa</t>
  </si>
  <si>
    <t>PROCEDŪRA VIELU, KAS NAV IEKĻAUTA DID SARAKSTĀ PARAMETRU VĒRTĪBU NOTEIKŠANAI</t>
  </si>
  <si>
    <t>Parasti visām DID sarakstā iekļautajām vielām ir jāizmanto uzskaitītās parametru vērtības. Izņēmums attiecas uz smaržvielām un krāsvielām, ja tiek pieņemti papildu testa rezultāti (skatīt zemsvītras piezīmi A daļā).</t>
  </si>
  <si>
    <t>Šī pieeja attiecas uz vielām, kas nav iekļautas
DID sarakstā.</t>
  </si>
  <si>
    <t>Toksiskums ūdens vidē:</t>
  </si>
  <si>
    <t>CDV aprēķina, pamatojoties uz hronisko toksiskumu un hronisko drošības koeficientu. Ja ir pieejami hronisko testu rezultāti, ir jāizmanto akūtā toksiskuma un drošības koeficients.</t>
  </si>
  <si>
    <t>Hroniskā toksiskuma koeficients (T hroniskais)</t>
  </si>
  <si>
    <t>Akūtā toksiskuma koeficients (TFakūtais)</t>
  </si>
  <si>
    <t>Drošības koeficients:</t>
  </si>
  <si>
    <t>Drošības koeficients (SF) ir atkarīgs no tā, cik daudz trofisko līmeņu ir testēts, un, vai hroniskā testa rezultāti ir vai nav pieejami. SF nosaka šādi:</t>
  </si>
  <si>
    <t>Aerobā bionoārdīšanās</t>
  </si>
  <si>
    <t>Viela jāklasificē vienā no šādām savienojumu klasēm:</t>
  </si>
  <si>
    <t xml:space="preserve">Vielas jātestē saskaņā ar testēšanas metodi OECD 301 A-F vai 310 (viegli bionoārdāmām) vai 302 A-C (pēc būtības bionoārdāmām). </t>
  </si>
  <si>
    <t>Noārdīšanās koeficienti</t>
  </si>
  <si>
    <t>Noārdīšanās koeficientu (DF) nosaka šādi:</t>
  </si>
  <si>
    <t>Anaerobā bionoārdīšanās</t>
  </si>
  <si>
    <t xml:space="preserve">Viela ir uzskatāma par anaerobi noārdāmu, ja viens no turpmāk minētajiem testiem (vai līdzvērtīgs) ir veikts, īstenojot prasību par vismaz 60 % degradācijas anaerobos apstākļos: </t>
  </si>
  <si>
    <t>Nešķīstošas ​​neorganiskas vielas</t>
  </si>
  <si>
    <t>Ja neorganiskajai vielai ir ļoti zema šķīdība ūdenī vai tā nešķīst ūdenī, tas jānorāda iesniegtajā failā.</t>
  </si>
  <si>
    <t>Aprēķina vidējo vērtību katrā trofiskajā līmenī (zivis, vēžveidīgie vai aļģes), izmantojot apstiprinātus testa rezultātus (NOEC vai EC10) attiecībā uz hronisku toksiskumu. Ja vienai sugai trofiskā līmenī ir pieejami vairāki testa rezultāti, vispirms aprēķina sugas vidējo vērtību, un šīs vidējās vērtības izmanto, aprēķinot trofiskā līmeņa vidējo vērtību.</t>
  </si>
  <si>
    <t>Ja trofiskā līmeņa vidējā vērtība pārsniedz šķīdību ūdenī, vērtība tiek iestatīta uz 100 mg/l.</t>
  </si>
  <si>
    <t>Hroniskā toksiskuma koeficients (TFhroniskais) ir trofisko līmeņu zemākais vidējais (NOEC vai EC10), kas dalīts ar drošības koeficientu (SF).</t>
  </si>
  <si>
    <t>TFhronisko izmanto, aprēķinot kritiskā atšķaidījuma tilpuma kritēriju.</t>
  </si>
  <si>
    <t xml:space="preserve">Aprēķina vidējo vērtību katrā trofiskajā līmenī (zivis, vēžveidīgie vai aļģes), izmantojot apstiprinātus testa rezultātus (LC50 un/vai EC50) attiecībā uz akūtu toksiskumu. Ja vienai sugai trofiskā līmenī ir pieejami vairāki testa rezultāti, vispirms aprēķina sugas vidējo vērtību, un šīs vidējās vērtības izmanto, aprēķinot trofiskā līmeņa vidējo vērtību. </t>
  </si>
  <si>
    <t>Akūtā toksiskuma koeficients (TFakūtais) ir trofisko līmeņu zemākais vidējais (LC50 or EC50), kas dalīts ar drošības koeficientu (SF).</t>
  </si>
  <si>
    <t>Dati</t>
  </si>
  <si>
    <t xml:space="preserve">1 īstermiņa L(E)C50  
50 
</t>
  </si>
  <si>
    <t>2 īstermiņa L(E)C50 no sugām, kurām ir divi trofiskie līmeņi (zivis un/vai vēžveidīgie, un/vai aļģes)</t>
  </si>
  <si>
    <t>Vismaz 1 īstermiņa L(E)C50 no katra no trim bāzes komplekta trofiskajiem līmeņiem*</t>
  </si>
  <si>
    <t>Viens ilgtermiņa NOEC vai EC10 (zivis vai vēžveidīgie)</t>
  </si>
  <si>
    <t>Divi ilgtermiņa NOEC vai EC10 no sugām, kurām ir divi trofiskie līmeņi (zivis un/vai vēžveidīgie, un/vai aļģes)</t>
  </si>
  <si>
    <t>Ilgtermiņa NOEC vai EC10 no vismaz trim sugām (parasti zivīm, vēžveidīgajiem un aļģēm), kas pārstāv trīs trofiskos līmeņus</t>
  </si>
  <si>
    <t>* Bāzes komplektu vielu toksiskuma ūdens organismiem testēšanai veido akūtie testi
ar zivīm, dafnijām un aļģēm.</t>
  </si>
  <si>
    <t>Kategorija</t>
  </si>
  <si>
    <t>Pēc būtības bionoārdāmas, bet nav viegli bionoārdāms</t>
  </si>
  <si>
    <t>Pastāvīgi</t>
  </si>
  <si>
    <t>Nav veikta testēšana saistībā ar aerobo bionoārdīšanos</t>
  </si>
  <si>
    <t>Viegli bionoārdāmas (*)</t>
  </si>
  <si>
    <t>Viegli bionoārdāmas (**)</t>
  </si>
  <si>
    <t>Pēc būtības bionoārdāmas</t>
  </si>
  <si>
    <t>Noturīgas</t>
  </si>
  <si>
    <t xml:space="preserve">(*) Visas virsmaktīvās vielas vai citas vielas, kas sastāv no virknes homologu un atbilst testa galīgās noārdīšanās prasībām, ir jāiekļauj šajā klasē neatkarīgi no “10 dienu loga” kritērija izpildes. </t>
  </si>
  <si>
    <t>(**) “10 dienu loga” kritērijs nav izpildīts. 
Neorganiskām vielām DF ir 0,05 barības vielām, piem., nātrija nitrātam, fosfātam vai amonjakam. DF ir 1 citām neorganiskām vielām, piem., ceolītam, silikātiem, perborātiem, sulfamīnskābei.</t>
  </si>
  <si>
    <t xml:space="preserve">Kategorija </t>
  </si>
  <si>
    <t>Nav anaerobi bionoārdāms, t. i., pārbaudīts un konstatēts, ka nav bionoārdāms</t>
  </si>
  <si>
    <t>Anaerobi bionoārdāms, t. i., pārbaudīts un konstatēts, ka tas ir bionoārdāms vai nav pārbaudīts, bet pierādīts, izmantojot analoģiskus apsvērumus utt.</t>
  </si>
  <si>
    <t>Nav veikta testēšana saistībā ar anaerobo bionoārdīšanos</t>
  </si>
  <si>
    <t>EN ISO 11734</t>
  </si>
  <si>
    <t>ECETOC Nr. 28 (1988. gada jūnijs)</t>
  </si>
  <si>
    <t>OECD 311</t>
  </si>
  <si>
    <t>Etiķete</t>
  </si>
  <si>
    <t>Drošības koeficients (SF)</t>
  </si>
  <si>
    <t>Toksiskuma koeficients (TF)</t>
  </si>
  <si>
    <t>Toksiskums/10000</t>
  </si>
  <si>
    <t>Toksiskums/5000</t>
  </si>
  <si>
    <t>Toksiskums/1000</t>
  </si>
  <si>
    <t>Toksiskums/100</t>
  </si>
  <si>
    <t>Toksiskums/50</t>
  </si>
  <si>
    <t>Toksiskums/10</t>
  </si>
  <si>
    <t>Produktu kategorija</t>
  </si>
  <si>
    <t>Funkcijas</t>
  </si>
  <si>
    <t>Bioakumulācija</t>
  </si>
  <si>
    <t>RSPO</t>
  </si>
  <si>
    <t>Forma produktā</t>
  </si>
  <si>
    <t>Atjaunīgās sastāvdaļas</t>
  </si>
  <si>
    <t>Nenoskalojamie</t>
  </si>
  <si>
    <t>Izņēmumi nenoskalojamajiem</t>
  </si>
  <si>
    <t>Izņēmumi noskalojamajiem</t>
  </si>
  <si>
    <t>Šampūni, ziepes, dušas līdzekļi un zobu pasta (cietā formā) </t>
  </si>
  <si>
    <t>Cietās skūšanās ziepes</t>
  </si>
  <si>
    <t>Šķidras ziepes un dušas līdzekļi </t>
  </si>
  <si>
    <t>Šampūni (šķidrā formā) </t>
  </si>
  <si>
    <t>Kosmētikas līdzekļi sieviešu higiēnai  </t>
  </si>
  <si>
    <t>Matu kondicionieri </t>
  </si>
  <si>
    <t>Noskalojamie matu veidošanas un apstrādes līdzekļi (matu krāsas) </t>
  </si>
  <si>
    <t>Noskalojamie ādas kopšanas līdzekļi (eksfolianti) </t>
  </si>
  <si>
    <t>Skūšanās putas, skūšanās želejas, skūšanās krēmi </t>
  </si>
  <si>
    <t>Zobu pastas un mutes skalojamie līdzekļi  </t>
  </si>
  <si>
    <t>Citi noskalojamie produkti </t>
  </si>
  <si>
    <t>Smaržviela</t>
  </si>
  <si>
    <t>Konservants</t>
  </si>
  <si>
    <t>Krāsviela</t>
  </si>
  <si>
    <t>UV filtrs</t>
  </si>
  <si>
    <t>Abrazīvā viela</t>
  </si>
  <si>
    <t>Enzīms</t>
  </si>
  <si>
    <t>Piemaisījums</t>
  </si>
  <si>
    <t>Cits</t>
  </si>
  <si>
    <t>BCF</t>
  </si>
  <si>
    <t>Log Kow</t>
  </si>
  <si>
    <t>Atļauts izmantot pārtikā</t>
  </si>
  <si>
    <t>Zemākais izmērītais toksiskums</t>
  </si>
  <si>
    <t>Identitātes saglabāšana</t>
  </si>
  <si>
    <t>Segregācija</t>
  </si>
  <si>
    <t>Masas bilance</t>
  </si>
  <si>
    <t>Viela, uz kuru attiecināma atkāpe</t>
  </si>
  <si>
    <t>Zem mērījuma robežvērtības</t>
  </si>
  <si>
    <t>Cinka atbrīvojums (ne vairāk kā 25 %)</t>
  </si>
  <si>
    <t>Šķidrums</t>
  </si>
  <si>
    <t>Ciets</t>
  </si>
  <si>
    <t>Palmu eļļa</t>
  </si>
  <si>
    <t>Palmu kodolu eļļa</t>
  </si>
  <si>
    <t>Palmu eļļas vai palmu kodolu eļļas atvasinājumi</t>
  </si>
  <si>
    <t>Nav bioakumulējams</t>
  </si>
  <si>
    <t>Nav biopieejams (MW&gt;700)</t>
  </si>
  <si>
    <t>Nenoskalojamajiem produktiem ir saules aizsargfunkcija, un tie satur UV filtrus, uz kuriem neattiecas 3. kritērijs</t>
  </si>
  <si>
    <t>Produkts ir nenoskalojamais līdzeklis ar saules aizsargfunkciju, un tas satur titāna dioksīdu (nano_x0002_form) (H351), uz kuru attiecas atkāpe no 4. a)(ii) kritērija, un tas nav pulveris vai aerosols.</t>
  </si>
  <si>
    <t>Produkts ir cinka ziede/krēms, ko tirgo kairinātas ādas dziedināšanai, un tas satur cinka savienojumus (H10) &lt; 25%, uz kuriem attiecas atkāpe no 4. a)(iii) kritērija.</t>
  </si>
  <si>
    <t>Produkts ir nenoskalojamais lūpu kopšanas līdzeklis, un tas nesatur 4. b) (viii) kritērijā noteiktās vielas.</t>
  </si>
  <si>
    <t>Produkts ir dekoratīvās kosmētikas līdzeklis vai matu krāsa (atbilst 4. f) (iv) kritērijam).</t>
  </si>
  <si>
    <t>Produkts satur virsmaktīvās vielas (H412), uz kurām attiecas atkāpe no 4. a) (i) kritērija &lt;20 %.</t>
  </si>
  <si>
    <t>Produkts ir "bērnu produkts" un/vai tiek tirgots kā "maigs / jutīgai ādai", un tas nesatur smaržvielas.</t>
  </si>
  <si>
    <t>Produkts nonāk saskarē ar mutes dobumu (piem., zobu pasta, mutes skalošanas līdzeklis, lūpu kopšanas līdzekļi, nagu laka), krāsvielas un konservanti ir apstiprināti kā pārtikas piedevas.</t>
  </si>
  <si>
    <t>Noskalojamie līdzekļi satur virsmaktīvās vielas ar tīrīšanas un/vai putošanas funkciju zobu pastās, un uz tiem neattiecas 2. a) kritērijs.</t>
  </si>
  <si>
    <t>Produkts ir noskalojams mutes dobuma kopšanas līdzeklis, un tas satur nātrija fluorīdu (H301), uz kuru attiecas atkāpe no 4. a) (i) kritērija.</t>
  </si>
  <si>
    <t>Produkts ir ciets noskalojams līdzeklis un satur līdz 0,0600% bioloģiski viegli nenoārdāmu fosfonātu.</t>
  </si>
  <si>
    <t>CDV</t>
  </si>
  <si>
    <t>aNBO</t>
  </si>
  <si>
    <t>anNBO</t>
  </si>
  <si>
    <t>Weight in the formulation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</si>
</sst>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 &quot;#,##0.00\ ;&quot;-€ &quot;#,##0.00\ ;&quot; € -&quot;#\ ;@\ "/>
    <numFmt numFmtId="165" formatCode="0.000"/>
    <numFmt numFmtId="166" formatCode="0.0"/>
    <numFmt numFmtId="167" formatCode="0.0000"/>
  </numFmts>
  <fonts count="21">
    <font>
      <sz val="10"/>
      <name val="Arial"/>
      <family val="2"/>
    </font>
    <font>
      <sz val="10"/>
      <name val="Arial"/>
      <family val="2"/>
    </font>
    <font>
      <b/>
      <sz val="12"/>
      <name val="Arial"/>
      <family val="2"/>
    </font>
    <font>
      <b/>
      <sz val="12"/>
      <color theme="0"/>
      <name val="Arial"/>
      <family val="2"/>
    </font>
    <font>
      <sz val="12"/>
      <name val="Arial"/>
      <family val="2"/>
    </font>
    <font>
      <b/>
      <sz val="16"/>
      <name val="Arial"/>
      <family val="2"/>
    </font>
    <font>
      <b/>
      <sz val="14"/>
      <name val="Arial"/>
      <family val="2"/>
    </font>
    <font>
      <b/>
      <sz val="10"/>
      <name val="Arial"/>
      <family val="2"/>
    </font>
    <font>
      <sz val="10"/>
      <color theme="0"/>
      <name val="Arial"/>
      <family val="2"/>
    </font>
    <font>
      <b/>
      <sz val="10"/>
      <color theme="0"/>
      <name val="Arial"/>
      <family val="2"/>
    </font>
    <font>
      <sz val="8"/>
      <color theme="0"/>
      <name val="Arial"/>
      <family val="2"/>
    </font>
    <font>
      <u/>
      <sz val="9"/>
      <color indexed="12"/>
      <name val="Geneva"/>
    </font>
    <font>
      <sz val="10"/>
      <color rgb="FFFF0000"/>
      <name val="Arial"/>
      <family val="2"/>
    </font>
    <font>
      <sz val="11"/>
      <color theme="0"/>
      <name val="Arial"/>
      <family val="2"/>
    </font>
    <font>
      <sz val="12"/>
      <color theme="0"/>
      <name val="Arial"/>
      <family val="2"/>
    </font>
    <font>
      <b/>
      <sz val="11"/>
      <name val="Arial"/>
      <family val="2"/>
    </font>
    <font>
      <sz val="10"/>
      <name val="Webdings"/>
      <family val="1"/>
      <charset val="2"/>
    </font>
    <font>
      <i/>
      <sz val="11"/>
      <color rgb="FF0070C0"/>
      <name val="Calibri"/>
      <family val="2"/>
    </font>
    <font>
      <sz val="8"/>
      <name val="Arial"/>
      <family val="2"/>
    </font>
    <font>
      <b/>
      <sz val="10"/>
      <color theme="3" tint="0.39997558519241921"/>
      <name val="Arial"/>
      <family val="2"/>
    </font>
    <font>
      <i/>
      <sz val="1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3"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indexed="9"/>
        <bgColor indexed="64"/>
      </patternFill>
    </fill>
    <fill>
      <patternFill patternType="solid">
        <fgColor indexed="43"/>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style="thick">
        <color rgb="FF000000"/>
      </right>
      <top/>
      <bottom style="thick">
        <color rgb="FF000000"/>
      </bottom>
      <diagonal/>
    </border>
    <border>
      <left/>
      <right/>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style="thick">
        <color rgb="FF000000"/>
      </left>
      <right style="thick">
        <color rgb="FF000000"/>
      </right>
      <top/>
      <bottom/>
      <diagonal/>
    </border>
    <border>
      <left/>
      <right style="thick">
        <color rgb="FF000000"/>
      </right>
      <top/>
      <bottom/>
      <diagonal/>
    </border>
    <border>
      <left style="thick">
        <color rgb="FF000000"/>
      </left>
      <right/>
      <top style="thick">
        <color rgb="FF000000"/>
      </top>
      <bottom style="thick">
        <color rgb="FF000000"/>
      </bottom>
      <diagonal/>
    </border>
    <border>
      <left style="medium">
        <color rgb="FF000000"/>
      </left>
      <right style="thick">
        <color rgb="FF000000"/>
      </right>
      <top style="thick">
        <color rgb="FF000000"/>
      </top>
      <bottom/>
      <diagonal/>
    </border>
    <border>
      <left style="medium">
        <color rgb="FF000000"/>
      </left>
      <right style="thick">
        <color rgb="FF000000"/>
      </right>
      <top/>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medium">
        <color rgb="FF000000"/>
      </left>
      <right style="medium">
        <color rgb="FF000000"/>
      </right>
      <top style="thick">
        <color rgb="FF000000"/>
      </top>
      <bottom/>
      <diagonal/>
    </border>
    <border>
      <left style="medium">
        <color rgb="FF000000"/>
      </left>
      <right style="medium">
        <color rgb="FF000000"/>
      </right>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style="medium">
        <color indexed="64"/>
      </bottom>
      <diagonal/>
    </border>
    <border>
      <left/>
      <right style="thin">
        <color theme="0" tint="-0.499984740745262"/>
      </right>
      <top style="medium">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medium">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medium">
        <color indexed="64"/>
      </bottom>
      <diagonal/>
    </border>
    <border>
      <left/>
      <right/>
      <top style="medium">
        <color indexed="64"/>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medium">
        <color indexed="64"/>
      </bottom>
      <diagonal/>
    </border>
    <border>
      <left style="medium">
        <color rgb="FF000000"/>
      </left>
      <right/>
      <top style="thick">
        <color rgb="FF000000"/>
      </top>
      <bottom/>
      <diagonal/>
    </border>
    <border>
      <left style="medium">
        <color rgb="FF000000"/>
      </left>
      <right/>
      <top/>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448">
    <xf numFmtId="0" fontId="0" fillId="0" borderId="0" xfId="0"/>
    <xf numFmtId="0" fontId="0" fillId="5" borderId="0" xfId="0" applyFill="1"/>
    <xf numFmtId="0" fontId="0" fillId="5" borderId="0" xfId="0" applyFill="1" applyAlignment="1">
      <alignment horizontal="center" vertical="center" wrapText="1"/>
    </xf>
    <xf numFmtId="0" fontId="6" fillId="5" borderId="0" xfId="0" applyFont="1" applyFill="1" applyAlignment="1">
      <alignment horizontal="right"/>
    </xf>
    <xf numFmtId="0" fontId="0" fillId="4" borderId="6" xfId="0" applyFill="1" applyBorder="1" applyAlignment="1">
      <alignment horizontal="center" vertical="center" wrapText="1"/>
    </xf>
    <xf numFmtId="0" fontId="8" fillId="4" borderId="6" xfId="0" applyFont="1" applyFill="1" applyBorder="1"/>
    <xf numFmtId="0" fontId="0" fillId="5" borderId="6" xfId="0" applyFill="1" applyBorder="1"/>
    <xf numFmtId="0" fontId="0" fillId="0" borderId="6" xfId="0" applyBorder="1" applyProtection="1">
      <protection locked="0"/>
    </xf>
    <xf numFmtId="0" fontId="0" fillId="5" borderId="6" xfId="0" applyFill="1" applyBorder="1" applyProtection="1">
      <protection locked="0"/>
    </xf>
    <xf numFmtId="0" fontId="0" fillId="2" borderId="6" xfId="0" applyFill="1" applyBorder="1" applyProtection="1">
      <protection locked="0"/>
    </xf>
    <xf numFmtId="0" fontId="12" fillId="2" borderId="6" xfId="0" applyFont="1" applyFill="1" applyBorder="1"/>
    <xf numFmtId="0" fontId="0" fillId="5" borderId="0" xfId="0" applyFill="1" applyAlignment="1">
      <alignment vertical="center"/>
    </xf>
    <xf numFmtId="0" fontId="8" fillId="4" borderId="0" xfId="0" applyFont="1" applyFill="1" applyAlignment="1">
      <alignment vertical="center"/>
    </xf>
    <xf numFmtId="0" fontId="13" fillId="4" borderId="0" xfId="0" applyFont="1" applyFill="1" applyAlignment="1">
      <alignment vertical="center"/>
    </xf>
    <xf numFmtId="0" fontId="0" fillId="4" borderId="0" xfId="0" applyFill="1"/>
    <xf numFmtId="0" fontId="0" fillId="0" borderId="6" xfId="0" applyBorder="1"/>
    <xf numFmtId="2" fontId="0" fillId="5" borderId="6" xfId="0" applyNumberFormat="1" applyFill="1" applyBorder="1"/>
    <xf numFmtId="0" fontId="0" fillId="8" borderId="0" xfId="0" applyFill="1"/>
    <xf numFmtId="0" fontId="3" fillId="8" borderId="56" xfId="0" applyFont="1" applyFill="1" applyBorder="1" applyAlignment="1">
      <alignment horizontal="center" vertical="center"/>
    </xf>
    <xf numFmtId="0" fontId="0" fillId="8" borderId="59" xfId="0" applyFill="1" applyBorder="1" applyAlignment="1">
      <alignment horizontal="center"/>
    </xf>
    <xf numFmtId="0" fontId="0" fillId="8" borderId="0" xfId="0" applyFill="1" applyAlignment="1">
      <alignment horizontal="center"/>
    </xf>
    <xf numFmtId="0" fontId="0" fillId="8" borderId="0" xfId="0" applyFill="1" applyAlignment="1">
      <alignment horizontal="center" vertical="center"/>
    </xf>
    <xf numFmtId="0" fontId="0" fillId="8" borderId="56" xfId="0" applyFill="1" applyBorder="1" applyAlignment="1">
      <alignment horizontal="center" vertical="center" wrapText="1"/>
    </xf>
    <xf numFmtId="0" fontId="0" fillId="8" borderId="56" xfId="0" applyFill="1" applyBorder="1" applyAlignment="1">
      <alignment horizontal="center"/>
    </xf>
    <xf numFmtId="0" fontId="0" fillId="5" borderId="67" xfId="0" applyFill="1" applyBorder="1"/>
    <xf numFmtId="0" fontId="0" fillId="5" borderId="0" xfId="0" applyFill="1" applyAlignment="1">
      <alignment horizontal="left" vertical="center" wrapText="1"/>
    </xf>
    <xf numFmtId="0" fontId="16" fillId="5" borderId="57" xfId="0" applyFont="1" applyFill="1" applyBorder="1" applyAlignment="1">
      <alignment horizontal="center" vertical="center"/>
    </xf>
    <xf numFmtId="0" fontId="16" fillId="5" borderId="0" xfId="0" applyFont="1" applyFill="1" applyAlignment="1">
      <alignment horizontal="center" vertical="center"/>
    </xf>
    <xf numFmtId="0" fontId="0" fillId="5" borderId="68" xfId="0" applyFill="1" applyBorder="1"/>
    <xf numFmtId="0" fontId="2" fillId="5" borderId="67" xfId="0" applyFont="1" applyFill="1" applyBorder="1" applyAlignment="1">
      <alignment horizontal="center" vertical="center"/>
    </xf>
    <xf numFmtId="0" fontId="0" fillId="5" borderId="67" xfId="0" applyFill="1" applyBorder="1" applyAlignment="1">
      <alignment vertical="center"/>
    </xf>
    <xf numFmtId="0" fontId="0" fillId="5" borderId="57" xfId="0" applyFill="1" applyBorder="1" applyAlignment="1">
      <alignment vertical="center"/>
    </xf>
    <xf numFmtId="0" fontId="0" fillId="5" borderId="57" xfId="0" applyFill="1" applyBorder="1"/>
    <xf numFmtId="0" fontId="0" fillId="5" borderId="65" xfId="0" applyFill="1" applyBorder="1"/>
    <xf numFmtId="0" fontId="15" fillId="8" borderId="0" xfId="0" applyFont="1" applyFill="1" applyAlignment="1">
      <alignment horizontal="center" vertical="center"/>
    </xf>
    <xf numFmtId="0" fontId="14" fillId="4" borderId="0" xfId="0" applyFont="1" applyFill="1" applyAlignment="1">
      <alignment vertical="center"/>
    </xf>
    <xf numFmtId="0" fontId="0" fillId="8" borderId="68" xfId="0" applyFill="1" applyBorder="1"/>
    <xf numFmtId="0" fontId="0" fillId="8" borderId="59" xfId="0" applyFill="1" applyBorder="1"/>
    <xf numFmtId="0" fontId="0" fillId="8" borderId="67" xfId="0" applyFill="1" applyBorder="1"/>
    <xf numFmtId="0" fontId="0" fillId="8" borderId="67" xfId="0" applyFill="1" applyBorder="1" applyAlignment="1">
      <alignment vertical="center"/>
    </xf>
    <xf numFmtId="0" fontId="0" fillId="8" borderId="65" xfId="0" applyFill="1" applyBorder="1"/>
    <xf numFmtId="0" fontId="0" fillId="8" borderId="56" xfId="0" applyFill="1" applyBorder="1"/>
    <xf numFmtId="0" fontId="14" fillId="4" borderId="68" xfId="0" applyFont="1" applyFill="1" applyBorder="1" applyAlignment="1">
      <alignment vertical="center"/>
    </xf>
    <xf numFmtId="0" fontId="13" fillId="4" borderId="59" xfId="0" applyFont="1" applyFill="1" applyBorder="1" applyAlignment="1">
      <alignment vertical="center"/>
    </xf>
    <xf numFmtId="0" fontId="8" fillId="4" borderId="59" xfId="0" applyFont="1" applyFill="1" applyBorder="1" applyAlignment="1">
      <alignment vertical="center"/>
    </xf>
    <xf numFmtId="0" fontId="0" fillId="4" borderId="59" xfId="0" applyFill="1" applyBorder="1"/>
    <xf numFmtId="0" fontId="12" fillId="4" borderId="59" xfId="0" applyFont="1" applyFill="1" applyBorder="1"/>
    <xf numFmtId="0" fontId="7" fillId="8" borderId="59" xfId="0" applyFont="1" applyFill="1" applyBorder="1" applyAlignment="1">
      <alignment horizontal="center"/>
    </xf>
    <xf numFmtId="0" fontId="0" fillId="5" borderId="56" xfId="0" applyFill="1" applyBorder="1"/>
    <xf numFmtId="0" fontId="14" fillId="4" borderId="67" xfId="0" applyFont="1" applyFill="1" applyBorder="1" applyAlignment="1">
      <alignment vertical="center"/>
    </xf>
    <xf numFmtId="0" fontId="7" fillId="5" borderId="68" xfId="0" applyFont="1" applyFill="1" applyBorder="1"/>
    <xf numFmtId="0" fontId="7" fillId="5" borderId="59" xfId="0" applyFont="1" applyFill="1" applyBorder="1"/>
    <xf numFmtId="0" fontId="7" fillId="5" borderId="69" xfId="0" applyFont="1" applyFill="1" applyBorder="1"/>
    <xf numFmtId="0" fontId="7" fillId="5" borderId="67" xfId="0" applyFont="1" applyFill="1" applyBorder="1"/>
    <xf numFmtId="0" fontId="7" fillId="5" borderId="0" xfId="0" applyFont="1" applyFill="1"/>
    <xf numFmtId="0" fontId="7" fillId="8" borderId="0" xfId="0" applyFont="1" applyFill="1" applyAlignment="1">
      <alignment vertical="center"/>
    </xf>
    <xf numFmtId="0" fontId="0" fillId="5" borderId="0" xfId="0" applyFill="1" applyAlignment="1">
      <alignment horizontal="center"/>
    </xf>
    <xf numFmtId="0" fontId="0" fillId="5" borderId="56" xfId="0" applyFill="1" applyBorder="1" applyAlignment="1">
      <alignment horizontal="center"/>
    </xf>
    <xf numFmtId="0" fontId="9" fillId="6" borderId="58" xfId="0" applyFont="1" applyFill="1" applyBorder="1" applyAlignment="1">
      <alignment horizontal="center" vertical="center"/>
    </xf>
    <xf numFmtId="0" fontId="15" fillId="8" borderId="1" xfId="0" applyFont="1" applyFill="1" applyBorder="1" applyAlignment="1">
      <alignment horizontal="center" vertical="center"/>
    </xf>
    <xf numFmtId="0" fontId="7" fillId="8" borderId="67" xfId="0" applyFont="1" applyFill="1" applyBorder="1" applyAlignment="1">
      <alignment vertical="center"/>
    </xf>
    <xf numFmtId="0" fontId="8" fillId="8" borderId="0" xfId="0" applyFont="1" applyFill="1" applyAlignment="1">
      <alignment vertical="center"/>
    </xf>
    <xf numFmtId="0" fontId="0" fillId="5" borderId="66" xfId="0" applyFill="1" applyBorder="1"/>
    <xf numFmtId="0" fontId="7" fillId="5" borderId="1" xfId="0" applyFont="1" applyFill="1" applyBorder="1" applyAlignment="1">
      <alignment horizontal="center" vertical="center"/>
    </xf>
    <xf numFmtId="0" fontId="15" fillId="5"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0" fillId="7" borderId="1" xfId="0" applyFill="1" applyBorder="1" applyAlignment="1">
      <alignment vertical="center"/>
    </xf>
    <xf numFmtId="0" fontId="0" fillId="7" borderId="1" xfId="0" applyFill="1" applyBorder="1" applyAlignment="1">
      <alignment horizontal="center" vertical="center"/>
    </xf>
    <xf numFmtId="0" fontId="17" fillId="0" borderId="0" xfId="0" applyFont="1"/>
    <xf numFmtId="0" fontId="7" fillId="7" borderId="1" xfId="0" applyFont="1" applyFill="1" applyBorder="1" applyAlignment="1">
      <alignment horizontal="right" vertical="center" wrapText="1"/>
    </xf>
    <xf numFmtId="0" fontId="0" fillId="5" borderId="0" xfId="0" applyFill="1" applyAlignment="1">
      <alignment wrapText="1"/>
    </xf>
    <xf numFmtId="0" fontId="0" fillId="5" borderId="0" xfId="0" applyFill="1" applyAlignment="1">
      <alignment horizontal="left" vertical="top" wrapText="1"/>
    </xf>
    <xf numFmtId="0" fontId="7" fillId="5" borderId="60" xfId="0" applyFont="1" applyFill="1" applyBorder="1" applyAlignment="1">
      <alignment horizontal="center" vertical="center" wrapText="1"/>
    </xf>
    <xf numFmtId="0" fontId="0" fillId="5" borderId="0" xfId="0" applyFill="1" applyAlignment="1">
      <alignment horizontal="left" wrapText="1"/>
    </xf>
    <xf numFmtId="0" fontId="16" fillId="5" borderId="0" xfId="0" applyFont="1" applyFill="1"/>
    <xf numFmtId="0" fontId="7" fillId="8" borderId="68" xfId="0" applyFont="1" applyFill="1" applyBorder="1" applyAlignment="1">
      <alignment vertical="center"/>
    </xf>
    <xf numFmtId="0" fontId="7" fillId="8" borderId="59" xfId="0" applyFont="1" applyFill="1" applyBorder="1" applyAlignment="1">
      <alignment vertical="center"/>
    </xf>
    <xf numFmtId="0" fontId="14" fillId="4" borderId="62" xfId="0" applyFont="1" applyFill="1" applyBorder="1" applyAlignment="1">
      <alignment vertical="center"/>
    </xf>
    <xf numFmtId="0" fontId="13" fillId="4" borderId="63" xfId="0" applyFont="1" applyFill="1" applyBorder="1" applyAlignment="1">
      <alignment vertical="center"/>
    </xf>
    <xf numFmtId="0" fontId="8" fillId="4" borderId="63" xfId="0" applyFont="1" applyFill="1" applyBorder="1" applyAlignment="1">
      <alignment vertical="center"/>
    </xf>
    <xf numFmtId="0" fontId="0" fillId="4" borderId="63" xfId="0" applyFill="1" applyBorder="1"/>
    <xf numFmtId="0" fontId="0" fillId="4" borderId="64" xfId="0" applyFill="1" applyBorder="1"/>
    <xf numFmtId="0" fontId="7" fillId="6" borderId="57" xfId="0" applyFont="1" applyFill="1" applyBorder="1" applyAlignment="1">
      <alignment horizontal="center" vertical="center"/>
    </xf>
    <xf numFmtId="0" fontId="0" fillId="5" borderId="1" xfId="0" applyFill="1" applyBorder="1" applyAlignment="1">
      <alignment horizontal="center" vertical="center"/>
    </xf>
    <xf numFmtId="0" fontId="0" fillId="5" borderId="66" xfId="0" applyFill="1" applyBorder="1" applyAlignment="1">
      <alignment horizontal="center" vertical="center"/>
    </xf>
    <xf numFmtId="0" fontId="0" fillId="5" borderId="0" xfId="0" applyFill="1" applyAlignment="1">
      <alignment horizontal="center" vertical="center"/>
    </xf>
    <xf numFmtId="0" fontId="0" fillId="8" borderId="69" xfId="0" applyFill="1" applyBorder="1"/>
    <xf numFmtId="0" fontId="0" fillId="8" borderId="57" xfId="0" applyFill="1" applyBorder="1"/>
    <xf numFmtId="0" fontId="0" fillId="8" borderId="56" xfId="0" applyFill="1" applyBorder="1" applyAlignment="1">
      <alignment wrapText="1"/>
    </xf>
    <xf numFmtId="0" fontId="0" fillId="8" borderId="66" xfId="0" applyFill="1" applyBorder="1"/>
    <xf numFmtId="0" fontId="8" fillId="8" borderId="59" xfId="0" applyFont="1" applyFill="1" applyBorder="1" applyAlignment="1">
      <alignment vertical="center"/>
    </xf>
    <xf numFmtId="0" fontId="3" fillId="4" borderId="59" xfId="0" applyFont="1" applyFill="1" applyBorder="1" applyAlignment="1">
      <alignment vertical="center"/>
    </xf>
    <xf numFmtId="0" fontId="0" fillId="5" borderId="57" xfId="0" applyFill="1" applyBorder="1" applyAlignment="1">
      <alignment horizontal="left" vertical="top" wrapText="1"/>
    </xf>
    <xf numFmtId="0" fontId="0" fillId="7" borderId="1" xfId="0" applyFill="1" applyBorder="1" applyAlignment="1">
      <alignment horizontal="center" vertical="center" wrapText="1"/>
    </xf>
    <xf numFmtId="0" fontId="0" fillId="8" borderId="0" xfId="0" applyFill="1" applyAlignment="1">
      <alignment wrapText="1"/>
    </xf>
    <xf numFmtId="0" fontId="0" fillId="8" borderId="59" xfId="0" applyFill="1" applyBorder="1" applyAlignment="1">
      <alignment wrapText="1"/>
    </xf>
    <xf numFmtId="0" fontId="0" fillId="2" borderId="6" xfId="0" applyFill="1" applyBorder="1" applyAlignment="1" applyProtection="1">
      <alignment horizontal="center" vertical="center"/>
      <protection locked="0"/>
    </xf>
    <xf numFmtId="0" fontId="0" fillId="2" borderId="6" xfId="2" applyNumberFormat="1" applyFont="1" applyFill="1" applyBorder="1" applyAlignment="1" applyProtection="1">
      <alignment horizontal="center" vertical="center"/>
      <protection locked="0"/>
    </xf>
    <xf numFmtId="0" fontId="9" fillId="4" borderId="62" xfId="0" applyFont="1" applyFill="1" applyBorder="1" applyAlignment="1">
      <alignment horizontal="center" vertical="center"/>
    </xf>
    <xf numFmtId="0" fontId="9" fillId="4" borderId="69" xfId="0" applyFont="1" applyFill="1" applyBorder="1" applyAlignment="1">
      <alignment horizontal="center" vertical="center"/>
    </xf>
    <xf numFmtId="0" fontId="7" fillId="3" borderId="65" xfId="0" applyFont="1" applyFill="1" applyBorder="1" applyAlignment="1">
      <alignment horizontal="right"/>
    </xf>
    <xf numFmtId="0" fontId="7" fillId="3" borderId="62" xfId="0" applyFont="1" applyFill="1" applyBorder="1" applyAlignment="1">
      <alignment horizontal="right"/>
    </xf>
    <xf numFmtId="0" fontId="7" fillId="3" borderId="62" xfId="0" applyFont="1" applyFill="1" applyBorder="1" applyAlignment="1">
      <alignment horizontal="right" wrapText="1"/>
    </xf>
    <xf numFmtId="0" fontId="9" fillId="5" borderId="67" xfId="0" applyFont="1" applyFill="1" applyBorder="1" applyAlignment="1">
      <alignment vertical="center"/>
    </xf>
    <xf numFmtId="0" fontId="5" fillId="5" borderId="0" xfId="0" applyFont="1" applyFill="1" applyAlignment="1">
      <alignment horizontal="left" vertical="center" indent="1"/>
    </xf>
    <xf numFmtId="0" fontId="15" fillId="5" borderId="56" xfId="0" applyFont="1" applyFill="1" applyBorder="1"/>
    <xf numFmtId="0" fontId="7" fillId="5" borderId="56" xfId="0" applyFont="1" applyFill="1" applyBorder="1"/>
    <xf numFmtId="0" fontId="0" fillId="5" borderId="0" xfId="0" applyFill="1" applyAlignment="1">
      <alignment horizontal="right" vertical="top"/>
    </xf>
    <xf numFmtId="0" fontId="0" fillId="5" borderId="0" xfId="0" applyFill="1" applyAlignment="1">
      <alignment horizontal="right" vertical="top" wrapText="1"/>
    </xf>
    <xf numFmtId="0" fontId="7" fillId="5" borderId="1" xfId="0" applyFont="1" applyFill="1" applyBorder="1" applyAlignment="1">
      <alignment horizontal="center" wrapText="1"/>
    </xf>
    <xf numFmtId="0" fontId="0" fillId="5" borderId="1" xfId="0" applyFill="1" applyBorder="1" applyAlignment="1">
      <alignment horizontal="center"/>
    </xf>
    <xf numFmtId="0" fontId="7" fillId="5" borderId="1" xfId="0" applyFont="1" applyFill="1" applyBorder="1" applyAlignment="1">
      <alignment horizontal="center"/>
    </xf>
    <xf numFmtId="0" fontId="0" fillId="5" borderId="0" xfId="0" applyFill="1" applyAlignment="1">
      <alignment horizontal="right"/>
    </xf>
    <xf numFmtId="0" fontId="7" fillId="5" borderId="0" xfId="0" applyFont="1" applyFill="1" applyAlignment="1">
      <alignment horizontal="left" vertical="center" indent="1"/>
    </xf>
    <xf numFmtId="0" fontId="2" fillId="5" borderId="14" xfId="0" applyFont="1" applyFill="1" applyBorder="1" applyAlignment="1">
      <alignment horizontal="left" vertical="center" wrapText="1"/>
    </xf>
    <xf numFmtId="0" fontId="2" fillId="5" borderId="15" xfId="0" applyFont="1" applyFill="1" applyBorder="1" applyAlignment="1">
      <alignment horizontal="left" vertical="center" wrapText="1"/>
    </xf>
    <xf numFmtId="0" fontId="0" fillId="5" borderId="3" xfId="0" applyFill="1" applyBorder="1" applyAlignment="1">
      <alignment horizontal="left" vertical="center" wrapText="1"/>
    </xf>
    <xf numFmtId="0" fontId="7" fillId="5" borderId="5" xfId="0" applyFont="1" applyFill="1" applyBorder="1" applyAlignment="1">
      <alignment horizontal="left" vertical="center" wrapText="1"/>
    </xf>
    <xf numFmtId="0" fontId="0" fillId="5" borderId="2" xfId="0" applyFill="1" applyBorder="1" applyAlignment="1">
      <alignment horizontal="left" vertical="center" wrapText="1"/>
    </xf>
    <xf numFmtId="0" fontId="0" fillId="5" borderId="3" xfId="0" applyFill="1" applyBorder="1" applyAlignment="1">
      <alignment vertical="top" textRotation="90" wrapText="1"/>
    </xf>
    <xf numFmtId="0" fontId="0" fillId="5" borderId="2" xfId="0" applyFill="1" applyBorder="1" applyAlignment="1">
      <alignment horizontal="left" vertical="center" textRotation="90" wrapText="1"/>
    </xf>
    <xf numFmtId="0" fontId="0" fillId="5" borderId="4" xfId="0" applyFill="1" applyBorder="1" applyAlignment="1">
      <alignment horizontal="left" vertical="center" textRotation="90" wrapText="1"/>
    </xf>
    <xf numFmtId="0" fontId="0" fillId="5" borderId="2" xfId="0" applyFill="1" applyBorder="1" applyAlignment="1">
      <alignment vertical="top" textRotation="90" wrapText="1"/>
    </xf>
    <xf numFmtId="0" fontId="0" fillId="5" borderId="31" xfId="0" applyFill="1" applyBorder="1" applyAlignment="1">
      <alignment horizontal="right" vertical="center" wrapText="1"/>
    </xf>
    <xf numFmtId="0" fontId="0" fillId="5" borderId="37" xfId="0" applyFill="1" applyBorder="1" applyAlignment="1">
      <alignment horizontal="right" vertical="center" wrapText="1"/>
    </xf>
    <xf numFmtId="0" fontId="0" fillId="5" borderId="40" xfId="0" applyFill="1" applyBorder="1" applyAlignment="1">
      <alignment horizontal="left" vertical="center" wrapText="1"/>
    </xf>
    <xf numFmtId="0" fontId="0" fillId="5" borderId="23" xfId="0" applyFill="1" applyBorder="1" applyAlignment="1">
      <alignment horizontal="right" vertical="center" wrapText="1"/>
    </xf>
    <xf numFmtId="0" fontId="0" fillId="5" borderId="24" xfId="0" applyFill="1" applyBorder="1" applyAlignment="1">
      <alignment horizontal="right" vertical="center" wrapText="1"/>
    </xf>
    <xf numFmtId="0" fontId="0" fillId="5" borderId="25" xfId="0" applyFill="1" applyBorder="1" applyAlignment="1">
      <alignment horizontal="right" vertical="center" wrapText="1"/>
    </xf>
    <xf numFmtId="0" fontId="0" fillId="5" borderId="34" xfId="0" applyFill="1" applyBorder="1" applyAlignment="1">
      <alignment horizontal="right" vertical="center" wrapText="1"/>
    </xf>
    <xf numFmtId="0" fontId="0" fillId="5" borderId="45" xfId="0" applyFill="1" applyBorder="1" applyAlignment="1">
      <alignment horizontal="right" vertical="center" wrapText="1"/>
    </xf>
    <xf numFmtId="0" fontId="0" fillId="5" borderId="32" xfId="0" applyFill="1" applyBorder="1" applyAlignment="1">
      <alignment horizontal="right" vertical="center" wrapText="1"/>
    </xf>
    <xf numFmtId="0" fontId="0" fillId="5" borderId="38" xfId="0" applyFill="1" applyBorder="1" applyAlignment="1">
      <alignment horizontal="right" vertical="center" wrapText="1"/>
    </xf>
    <xf numFmtId="0" fontId="0" fillId="5" borderId="41" xfId="0" applyFill="1" applyBorder="1" applyAlignment="1">
      <alignment horizontal="left" vertical="center" wrapText="1"/>
    </xf>
    <xf numFmtId="0" fontId="0" fillId="5" borderId="26" xfId="0" applyFill="1" applyBorder="1" applyAlignment="1">
      <alignment horizontal="right" vertical="center" wrapText="1"/>
    </xf>
    <xf numFmtId="0" fontId="0" fillId="5" borderId="6" xfId="0" applyFill="1" applyBorder="1" applyAlignment="1">
      <alignment horizontal="right" vertical="center" wrapText="1"/>
    </xf>
    <xf numFmtId="0" fontId="0" fillId="5" borderId="27" xfId="0" applyFill="1" applyBorder="1" applyAlignment="1">
      <alignment horizontal="right" vertical="center" wrapText="1"/>
    </xf>
    <xf numFmtId="0" fontId="0" fillId="5" borderId="35" xfId="0" applyFill="1" applyBorder="1" applyAlignment="1">
      <alignment horizontal="right" vertical="center" wrapText="1"/>
    </xf>
    <xf numFmtId="0" fontId="0" fillId="5" borderId="46" xfId="0" applyFill="1" applyBorder="1" applyAlignment="1">
      <alignment horizontal="right" vertical="center" wrapText="1"/>
    </xf>
    <xf numFmtId="0" fontId="0" fillId="5" borderId="35" xfId="0" applyFill="1" applyBorder="1" applyAlignment="1">
      <alignment horizontal="left" vertical="center" wrapText="1"/>
    </xf>
    <xf numFmtId="0" fontId="0" fillId="5" borderId="6" xfId="0" applyFill="1" applyBorder="1" applyAlignment="1">
      <alignment horizontal="left" vertical="center" wrapText="1"/>
    </xf>
    <xf numFmtId="0" fontId="0" fillId="5" borderId="32" xfId="0" applyFill="1" applyBorder="1" applyAlignment="1">
      <alignment vertical="center" wrapText="1"/>
    </xf>
    <xf numFmtId="0" fontId="0" fillId="5" borderId="41" xfId="0" applyFill="1" applyBorder="1" applyAlignment="1">
      <alignment vertical="center" wrapText="1"/>
    </xf>
    <xf numFmtId="0" fontId="0" fillId="5" borderId="33" xfId="0" applyFill="1" applyBorder="1" applyAlignment="1">
      <alignment horizontal="right" vertical="center" wrapText="1"/>
    </xf>
    <xf numFmtId="0" fontId="0" fillId="5" borderId="39" xfId="0" applyFill="1" applyBorder="1" applyAlignment="1">
      <alignment horizontal="right" vertical="center" wrapText="1"/>
    </xf>
    <xf numFmtId="0" fontId="0" fillId="5" borderId="42" xfId="0" applyFill="1" applyBorder="1" applyAlignment="1">
      <alignment horizontal="left" vertical="center" wrapText="1"/>
    </xf>
    <xf numFmtId="0" fontId="0" fillId="5" borderId="28" xfId="0" applyFill="1" applyBorder="1" applyAlignment="1">
      <alignment horizontal="right" vertical="center" wrapText="1"/>
    </xf>
    <xf numFmtId="0" fontId="0" fillId="5" borderId="29" xfId="0" applyFill="1" applyBorder="1" applyAlignment="1">
      <alignment horizontal="right" vertical="center" wrapText="1"/>
    </xf>
    <xf numFmtId="0" fontId="0" fillId="5" borderId="30" xfId="0" applyFill="1" applyBorder="1" applyAlignment="1">
      <alignment horizontal="right" vertical="center" wrapText="1"/>
    </xf>
    <xf numFmtId="0" fontId="0" fillId="5" borderId="36" xfId="0" applyFill="1" applyBorder="1" applyAlignment="1">
      <alignment horizontal="right" vertical="center" wrapText="1"/>
    </xf>
    <xf numFmtId="0" fontId="0" fillId="5" borderId="47" xfId="0" applyFill="1" applyBorder="1" applyAlignment="1">
      <alignment horizontal="right" vertical="center" wrapText="1"/>
    </xf>
    <xf numFmtId="0" fontId="0" fillId="5" borderId="26" xfId="0" applyFill="1" applyBorder="1" applyAlignment="1">
      <alignment horizontal="left" vertical="center" wrapText="1"/>
    </xf>
    <xf numFmtId="11" fontId="0" fillId="5" borderId="27" xfId="0" applyNumberFormat="1" applyFill="1" applyBorder="1" applyAlignment="1">
      <alignment horizontal="right" vertical="center" wrapText="1"/>
    </xf>
    <xf numFmtId="0" fontId="0" fillId="5" borderId="36" xfId="0" applyFill="1" applyBorder="1" applyAlignment="1">
      <alignment horizontal="left" vertical="center" wrapText="1"/>
    </xf>
    <xf numFmtId="0" fontId="0" fillId="5" borderId="29" xfId="0" applyFill="1" applyBorder="1" applyAlignment="1">
      <alignment horizontal="left" vertical="center" wrapText="1"/>
    </xf>
    <xf numFmtId="0" fontId="0" fillId="5" borderId="25" xfId="0" applyFill="1" applyBorder="1" applyAlignment="1">
      <alignment horizontal="center" vertical="center" wrapText="1"/>
    </xf>
    <xf numFmtId="0" fontId="0" fillId="5" borderId="27" xfId="0" applyFill="1" applyBorder="1" applyAlignment="1">
      <alignment horizontal="center" vertical="center" wrapText="1"/>
    </xf>
    <xf numFmtId="0" fontId="0" fillId="5" borderId="30" xfId="0" applyFill="1" applyBorder="1" applyAlignment="1">
      <alignment horizontal="center" vertical="center" wrapText="1"/>
    </xf>
    <xf numFmtId="0" fontId="0" fillId="5" borderId="28" xfId="0" applyFill="1" applyBorder="1" applyAlignment="1">
      <alignment horizontal="left" vertical="center" wrapText="1"/>
    </xf>
    <xf numFmtId="0" fontId="0" fillId="5" borderId="30" xfId="0" applyFill="1" applyBorder="1" applyAlignment="1">
      <alignment horizontal="left" vertical="center" wrapText="1"/>
    </xf>
    <xf numFmtId="0" fontId="0" fillId="2" borderId="1" xfId="0" applyFill="1" applyBorder="1" applyProtection="1">
      <protection locked="0"/>
    </xf>
    <xf numFmtId="0" fontId="0" fillId="5" borderId="8" xfId="0" applyFill="1" applyBorder="1"/>
    <xf numFmtId="0" fontId="0" fillId="0" borderId="8" xfId="0" applyBorder="1"/>
    <xf numFmtId="2" fontId="0" fillId="5" borderId="8" xfId="0" applyNumberFormat="1" applyFill="1" applyBorder="1"/>
    <xf numFmtId="0" fontId="3" fillId="4" borderId="6" xfId="0" applyFont="1" applyFill="1" applyBorder="1" applyAlignment="1">
      <alignment horizontal="center" vertical="center"/>
    </xf>
    <xf numFmtId="0" fontId="7" fillId="7" borderId="6" xfId="0" applyFont="1" applyFill="1" applyBorder="1" applyAlignment="1">
      <alignment horizontal="center" vertical="center"/>
    </xf>
    <xf numFmtId="2" fontId="2" fillId="7" borderId="6" xfId="0" applyNumberFormat="1" applyFont="1" applyFill="1" applyBorder="1" applyAlignment="1">
      <alignment horizontal="center" vertical="center"/>
    </xf>
    <xf numFmtId="0" fontId="9" fillId="4" borderId="9" xfId="0" applyFont="1" applyFill="1" applyBorder="1" applyAlignment="1">
      <alignment horizontal="left" vertical="center"/>
    </xf>
    <xf numFmtId="0" fontId="9" fillId="4" borderId="6" xfId="0" applyFont="1" applyFill="1" applyBorder="1" applyAlignment="1">
      <alignment horizontal="left" vertical="center"/>
    </xf>
    <xf numFmtId="0" fontId="3" fillId="4" borderId="9" xfId="0" applyFont="1" applyFill="1" applyBorder="1" applyAlignment="1">
      <alignment horizontal="center" vertical="center"/>
    </xf>
    <xf numFmtId="165" fontId="2" fillId="7" borderId="6" xfId="0" applyNumberFormat="1" applyFont="1" applyFill="1" applyBorder="1" applyAlignment="1">
      <alignment horizontal="center" vertical="center"/>
    </xf>
    <xf numFmtId="0" fontId="4" fillId="7" borderId="6" xfId="0" applyFont="1" applyFill="1" applyBorder="1" applyAlignment="1">
      <alignment horizontal="center" vertical="center"/>
    </xf>
    <xf numFmtId="165" fontId="4" fillId="7" borderId="6" xfId="0" applyNumberFormat="1" applyFont="1" applyFill="1" applyBorder="1" applyAlignment="1">
      <alignment horizontal="center" vertical="center"/>
    </xf>
    <xf numFmtId="2" fontId="4" fillId="3" borderId="6" xfId="0" applyNumberFormat="1" applyFont="1" applyFill="1" applyBorder="1" applyAlignment="1">
      <alignment vertical="center"/>
    </xf>
    <xf numFmtId="0" fontId="2" fillId="3" borderId="6" xfId="0" applyFont="1" applyFill="1" applyBorder="1" applyAlignment="1">
      <alignment vertical="center"/>
    </xf>
    <xf numFmtId="0" fontId="0" fillId="8" borderId="0" xfId="0" applyFill="1" applyAlignment="1">
      <alignment horizontal="left" wrapText="1"/>
    </xf>
    <xf numFmtId="0" fontId="0" fillId="8" borderId="0" xfId="0" applyFill="1" applyAlignment="1">
      <alignment vertical="center"/>
    </xf>
    <xf numFmtId="2" fontId="4" fillId="8" borderId="0" xfId="0" applyNumberFormat="1" applyFont="1" applyFill="1" applyAlignment="1">
      <alignment vertical="center"/>
    </xf>
    <xf numFmtId="0" fontId="2" fillId="8" borderId="0" xfId="0" applyFont="1" applyFill="1" applyAlignment="1">
      <alignment vertical="center"/>
    </xf>
    <xf numFmtId="0" fontId="0" fillId="8" borderId="59" xfId="0" applyFill="1" applyBorder="1" applyAlignment="1" applyProtection="1">
      <alignment horizontal="center" vertical="center"/>
      <protection locked="0"/>
    </xf>
    <xf numFmtId="0" fontId="0" fillId="8" borderId="0" xfId="0" applyFill="1" applyProtection="1">
      <protection locked="0"/>
    </xf>
    <xf numFmtId="0" fontId="0" fillId="8" borderId="0" xfId="0" applyFill="1" applyAlignment="1" applyProtection="1">
      <alignment horizontal="center" vertical="center"/>
      <protection locked="0"/>
    </xf>
    <xf numFmtId="0" fontId="0" fillId="8" borderId="0" xfId="0" applyFill="1" applyAlignment="1" applyProtection="1">
      <alignment vertical="center"/>
      <protection locked="0"/>
    </xf>
    <xf numFmtId="0" fontId="2" fillId="8" borderId="0" xfId="0" applyFont="1" applyFill="1" applyAlignment="1" applyProtection="1">
      <alignment horizontal="center" vertical="center"/>
      <protection locked="0"/>
    </xf>
    <xf numFmtId="0" fontId="0" fillId="5" borderId="0" xfId="0" applyFill="1" applyAlignment="1" applyProtection="1">
      <alignment horizontal="center"/>
      <protection locked="0"/>
    </xf>
    <xf numFmtId="0" fontId="0" fillId="8" borderId="0" xfId="0" applyFill="1" applyAlignment="1" applyProtection="1">
      <alignment horizontal="center" vertical="center" wrapText="1"/>
      <protection locked="0"/>
    </xf>
    <xf numFmtId="0" fontId="14" fillId="4" borderId="6" xfId="0" applyFont="1" applyFill="1" applyBorder="1" applyAlignment="1">
      <alignment horizontal="right" vertical="center"/>
    </xf>
    <xf numFmtId="0" fontId="0" fillId="8" borderId="0" xfId="0" applyFill="1" applyAlignment="1">
      <alignment horizontal="right"/>
    </xf>
    <xf numFmtId="0" fontId="9" fillId="4" borderId="6" xfId="0" applyFont="1" applyFill="1" applyBorder="1" applyAlignment="1">
      <alignment horizontal="center" vertical="center" wrapText="1"/>
    </xf>
    <xf numFmtId="0" fontId="0" fillId="2" borderId="6" xfId="0" applyFill="1" applyBorder="1" applyAlignment="1" applyProtection="1">
      <alignment horizontal="left"/>
      <protection locked="0"/>
    </xf>
    <xf numFmtId="0" fontId="0" fillId="2" borderId="6"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2" fillId="5" borderId="56" xfId="0" applyFont="1" applyFill="1" applyBorder="1"/>
    <xf numFmtId="0" fontId="8" fillId="4" borderId="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0" fillId="0" borderId="6" xfId="0" applyBorder="1" applyAlignment="1">
      <alignment horizontal="center" vertical="center"/>
    </xf>
    <xf numFmtId="2" fontId="4" fillId="3" borderId="9" xfId="0" applyNumberFormat="1" applyFont="1" applyFill="1" applyBorder="1" applyAlignment="1">
      <alignment horizontal="center" vertical="center"/>
    </xf>
    <xf numFmtId="0" fontId="4" fillId="5" borderId="0" xfId="0" applyFont="1" applyFill="1"/>
    <xf numFmtId="0" fontId="0" fillId="5" borderId="0" xfId="0" applyFill="1" applyAlignment="1">
      <alignment horizontal="left" vertical="center"/>
    </xf>
    <xf numFmtId="0" fontId="9" fillId="4" borderId="0" xfId="0" applyFont="1" applyFill="1" applyAlignment="1">
      <alignment horizontal="center" vertical="center"/>
    </xf>
    <xf numFmtId="0" fontId="9" fillId="4" borderId="0" xfId="0" applyFont="1" applyFill="1" applyAlignment="1">
      <alignment horizontal="center" vertical="center" wrapText="1"/>
    </xf>
    <xf numFmtId="0" fontId="9" fillId="4" borderId="6" xfId="0" applyFont="1" applyFill="1" applyBorder="1"/>
    <xf numFmtId="2" fontId="0" fillId="3" borderId="9" xfId="0" applyNumberFormat="1" applyFill="1" applyBorder="1" applyAlignment="1">
      <alignment horizontal="center" vertical="center"/>
    </xf>
    <xf numFmtId="2" fontId="0" fillId="3" borderId="6" xfId="0" applyNumberFormat="1" applyFill="1" applyBorder="1" applyAlignment="1">
      <alignment horizontal="center" vertical="center"/>
    </xf>
    <xf numFmtId="0" fontId="7" fillId="0" borderId="0" xfId="0" applyFont="1" applyAlignment="1">
      <alignment horizontal="center" vertical="center" wrapText="1"/>
    </xf>
    <xf numFmtId="0" fontId="9" fillId="5" borderId="0" xfId="0" applyFont="1" applyFill="1" applyAlignment="1">
      <alignment horizontal="center" vertical="center"/>
    </xf>
    <xf numFmtId="0" fontId="7" fillId="9" borderId="1" xfId="0" applyFont="1" applyFill="1" applyBorder="1" applyAlignment="1">
      <alignment horizontal="center" vertical="center"/>
    </xf>
    <xf numFmtId="2" fontId="0" fillId="2" borderId="6" xfId="0" applyNumberFormat="1" applyFill="1" applyBorder="1" applyAlignment="1" applyProtection="1">
      <alignment horizontal="center"/>
      <protection locked="0"/>
    </xf>
    <xf numFmtId="2" fontId="0" fillId="2" borderId="8" xfId="0" applyNumberFormat="1" applyFill="1" applyBorder="1" applyAlignment="1" applyProtection="1">
      <alignment horizontal="center"/>
      <protection locked="0"/>
    </xf>
    <xf numFmtId="2" fontId="6" fillId="3" borderId="7" xfId="0" applyNumberFormat="1" applyFont="1" applyFill="1" applyBorder="1" applyAlignment="1">
      <alignment horizontal="right"/>
    </xf>
    <xf numFmtId="166" fontId="0" fillId="2" borderId="6" xfId="0" applyNumberFormat="1" applyFill="1" applyBorder="1" applyProtection="1">
      <protection locked="0"/>
    </xf>
    <xf numFmtId="166" fontId="0" fillId="7" borderId="6" xfId="0" applyNumberFormat="1" applyFill="1" applyBorder="1"/>
    <xf numFmtId="0" fontId="0" fillId="7" borderId="6" xfId="0" applyFill="1" applyBorder="1" applyAlignment="1">
      <alignment horizontal="left" vertical="center" wrapText="1"/>
    </xf>
    <xf numFmtId="0" fontId="0" fillId="8" borderId="56" xfId="0" applyFill="1" applyBorder="1" applyProtection="1">
      <protection locked="0"/>
    </xf>
    <xf numFmtId="0" fontId="0" fillId="13" borderId="2" xfId="0" applyFill="1" applyBorder="1" applyAlignment="1" applyProtection="1">
      <alignment horizontal="center" vertical="center"/>
      <protection locked="0"/>
    </xf>
    <xf numFmtId="0" fontId="7" fillId="3" borderId="68" xfId="0" applyFont="1" applyFill="1" applyBorder="1" applyAlignment="1">
      <alignment horizontal="right" wrapText="1"/>
    </xf>
    <xf numFmtId="0" fontId="7" fillId="3" borderId="1" xfId="0" applyFont="1" applyFill="1" applyBorder="1" applyAlignment="1">
      <alignment horizontal="center" vertical="center"/>
    </xf>
    <xf numFmtId="0" fontId="0" fillId="13" borderId="87" xfId="0" applyFill="1" applyBorder="1" applyAlignment="1" applyProtection="1">
      <alignment horizontal="center" vertical="center"/>
      <protection locked="0"/>
    </xf>
    <xf numFmtId="0" fontId="0" fillId="13" borderId="3" xfId="0" applyFill="1" applyBorder="1" applyAlignment="1" applyProtection="1">
      <alignment horizontal="center" vertical="center"/>
      <protection locked="0"/>
    </xf>
    <xf numFmtId="0" fontId="0" fillId="13" borderId="4" xfId="0" applyFill="1" applyBorder="1" applyAlignment="1" applyProtection="1">
      <alignment horizontal="center" vertical="center"/>
      <protection locked="0"/>
    </xf>
    <xf numFmtId="0" fontId="7" fillId="3" borderId="1"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0" fillId="0" borderId="0" xfId="0" applyAlignment="1">
      <alignment horizontal="center" vertical="center"/>
    </xf>
    <xf numFmtId="0" fontId="0" fillId="12" borderId="0" xfId="0" applyFill="1" applyAlignment="1">
      <alignment horizontal="center" vertical="center"/>
    </xf>
    <xf numFmtId="0" fontId="0" fillId="12" borderId="0" xfId="0" applyFill="1" applyAlignment="1">
      <alignment vertical="center"/>
    </xf>
    <xf numFmtId="0" fontId="0" fillId="12" borderId="84" xfId="0" applyFill="1" applyBorder="1" applyAlignment="1">
      <alignment vertical="center"/>
    </xf>
    <xf numFmtId="0" fontId="0" fillId="12" borderId="2" xfId="0" applyFill="1" applyBorder="1" applyAlignment="1">
      <alignment vertical="center"/>
    </xf>
    <xf numFmtId="0" fontId="0" fillId="12" borderId="4" xfId="0" applyFill="1" applyBorder="1" applyAlignment="1">
      <alignment vertical="center"/>
    </xf>
    <xf numFmtId="0" fontId="1" fillId="12" borderId="0" xfId="0" applyFont="1" applyFill="1" applyAlignment="1">
      <alignment vertical="center"/>
    </xf>
    <xf numFmtId="0" fontId="1" fillId="12" borderId="0" xfId="0" applyFont="1" applyFill="1" applyAlignment="1">
      <alignment horizontal="left" vertical="center"/>
    </xf>
    <xf numFmtId="0" fontId="0" fillId="12" borderId="0" xfId="0" applyFill="1" applyAlignment="1">
      <alignment horizontal="right" vertical="center"/>
    </xf>
    <xf numFmtId="0" fontId="1" fillId="12" borderId="0" xfId="0" applyFont="1" applyFill="1" applyAlignment="1">
      <alignment horizontal="right" vertical="center"/>
    </xf>
    <xf numFmtId="0" fontId="0" fillId="12" borderId="0" xfId="0" applyFill="1" applyAlignment="1">
      <alignment horizontal="left" vertical="center"/>
    </xf>
    <xf numFmtId="0" fontId="18" fillId="12" borderId="0" xfId="0" applyFont="1" applyFill="1" applyAlignment="1">
      <alignment horizontal="center" vertical="center"/>
    </xf>
    <xf numFmtId="0" fontId="0" fillId="2" borderId="1" xfId="0" applyFill="1" applyBorder="1" applyAlignment="1" applyProtection="1">
      <alignment horizontal="center" vertical="center"/>
      <protection locked="0"/>
    </xf>
    <xf numFmtId="0" fontId="0" fillId="2" borderId="6" xfId="0" applyFill="1" applyBorder="1"/>
    <xf numFmtId="0" fontId="7" fillId="3" borderId="46" xfId="0" applyFont="1" applyFill="1" applyBorder="1" applyAlignment="1">
      <alignment horizontal="right"/>
    </xf>
    <xf numFmtId="0" fontId="9" fillId="4" borderId="6" xfId="0" applyFont="1" applyFill="1" applyBorder="1" applyAlignment="1">
      <alignment vertical="center" wrapText="1"/>
    </xf>
    <xf numFmtId="0" fontId="19" fillId="4" borderId="6" xfId="0" applyFont="1" applyFill="1" applyBorder="1" applyAlignment="1">
      <alignment vertical="center" wrapText="1"/>
    </xf>
    <xf numFmtId="0" fontId="8" fillId="5" borderId="0" xfId="0" applyFont="1" applyFill="1"/>
    <xf numFmtId="0" fontId="8" fillId="4" borderId="8" xfId="0" applyFont="1" applyFill="1" applyBorder="1" applyAlignment="1">
      <alignment vertical="center" wrapText="1"/>
    </xf>
    <xf numFmtId="0" fontId="2" fillId="5" borderId="56" xfId="0" applyFont="1" applyFill="1" applyBorder="1" applyAlignment="1">
      <alignment wrapText="1"/>
    </xf>
    <xf numFmtId="0" fontId="0" fillId="0" borderId="6" xfId="0" applyBorder="1" applyAlignment="1">
      <alignment wrapText="1"/>
    </xf>
    <xf numFmtId="0" fontId="0" fillId="5" borderId="6" xfId="0" applyFill="1" applyBorder="1" applyAlignment="1" applyProtection="1">
      <alignment wrapText="1"/>
      <protection locked="0"/>
    </xf>
    <xf numFmtId="0" fontId="0" fillId="2" borderId="6" xfId="0" applyFill="1" applyBorder="1" applyAlignment="1">
      <alignment horizontal="center" vertical="center"/>
    </xf>
    <xf numFmtId="2" fontId="0" fillId="2" borderId="6" xfId="0" applyNumberFormat="1" applyFill="1" applyBorder="1"/>
    <xf numFmtId="0" fontId="7" fillId="5" borderId="0" xfId="0" applyFont="1" applyFill="1" applyAlignment="1">
      <alignment horizontal="center" vertical="center"/>
    </xf>
    <xf numFmtId="0" fontId="14" fillId="8" borderId="0" xfId="0" applyFont="1" applyFill="1" applyAlignment="1">
      <alignment vertical="center"/>
    </xf>
    <xf numFmtId="0" fontId="13" fillId="8" borderId="0" xfId="0" applyFont="1" applyFill="1" applyAlignment="1">
      <alignment vertical="center"/>
    </xf>
    <xf numFmtId="0" fontId="7" fillId="8" borderId="0" xfId="0" applyFont="1" applyFill="1" applyAlignment="1">
      <alignment horizontal="right" vertical="center" wrapText="1"/>
    </xf>
    <xf numFmtId="0" fontId="0" fillId="8" borderId="59" xfId="0" applyFill="1" applyBorder="1" applyAlignment="1">
      <alignment vertical="center"/>
    </xf>
    <xf numFmtId="0" fontId="0" fillId="8" borderId="59" xfId="0" applyFill="1" applyBorder="1" applyAlignment="1">
      <alignment horizontal="center" vertical="center"/>
    </xf>
    <xf numFmtId="0" fontId="8" fillId="4" borderId="6" xfId="0" applyFont="1" applyFill="1" applyBorder="1" applyAlignment="1">
      <alignment horizontal="left" vertical="center" wrapText="1"/>
    </xf>
    <xf numFmtId="0" fontId="2" fillId="5" borderId="0" xfId="0" applyFont="1" applyFill="1"/>
    <xf numFmtId="2" fontId="7" fillId="7" borderId="6" xfId="0" applyNumberFormat="1" applyFont="1" applyFill="1" applyBorder="1" applyAlignment="1">
      <alignment horizontal="center"/>
    </xf>
    <xf numFmtId="0" fontId="0" fillId="2" borderId="6" xfId="0" applyFill="1" applyBorder="1" applyAlignment="1" applyProtection="1">
      <alignment horizontal="right" vertical="center"/>
      <protection locked="0"/>
    </xf>
    <xf numFmtId="166" fontId="0" fillId="7" borderId="6" xfId="0" applyNumberFormat="1" applyFill="1" applyBorder="1" applyAlignment="1">
      <alignment horizontal="center"/>
    </xf>
    <xf numFmtId="166" fontId="0" fillId="7" borderId="6" xfId="0" applyNumberFormat="1" applyFill="1" applyBorder="1" applyAlignment="1">
      <alignment horizontal="center" vertical="center"/>
    </xf>
    <xf numFmtId="166" fontId="0" fillId="5" borderId="6" xfId="0" applyNumberFormat="1" applyFill="1" applyBorder="1" applyAlignment="1">
      <alignment horizontal="center" vertical="center"/>
    </xf>
    <xf numFmtId="0" fontId="0" fillId="5" borderId="6" xfId="0" applyFill="1" applyBorder="1" applyAlignment="1" applyProtection="1">
      <alignment horizontal="center" vertical="center"/>
      <protection locked="0"/>
    </xf>
    <xf numFmtId="0" fontId="0" fillId="5" borderId="6" xfId="0" applyFill="1" applyBorder="1" applyAlignment="1">
      <alignment horizontal="center" vertical="center"/>
    </xf>
    <xf numFmtId="9" fontId="1" fillId="7" borderId="6" xfId="2" applyFont="1" applyFill="1" applyBorder="1" applyAlignment="1" applyProtection="1">
      <alignment horizontal="center" vertical="center"/>
    </xf>
    <xf numFmtId="0" fontId="0" fillId="5" borderId="0" xfId="0" applyFill="1" applyAlignment="1">
      <alignment vertical="center" wrapText="1"/>
    </xf>
    <xf numFmtId="0" fontId="0" fillId="7" borderId="8" xfId="0" applyFill="1" applyBorder="1" applyAlignment="1">
      <alignment horizontal="left" vertical="center" wrapText="1"/>
    </xf>
    <xf numFmtId="0" fontId="0" fillId="0" borderId="0" xfId="0" applyAlignment="1">
      <alignment vertical="center"/>
    </xf>
    <xf numFmtId="0" fontId="8" fillId="4" borderId="46" xfId="0" applyFont="1" applyFill="1" applyBorder="1" applyAlignment="1">
      <alignment horizontal="left" vertical="center" wrapText="1"/>
    </xf>
    <xf numFmtId="167" fontId="0" fillId="2" borderId="6" xfId="0" applyNumberFormat="1" applyFill="1" applyBorder="1" applyAlignment="1" applyProtection="1">
      <alignment horizontal="center" vertical="center"/>
      <protection locked="0"/>
    </xf>
    <xf numFmtId="167" fontId="0" fillId="2" borderId="6" xfId="0" applyNumberFormat="1" applyFill="1" applyBorder="1" applyAlignment="1">
      <alignment horizontal="center" vertical="center"/>
    </xf>
    <xf numFmtId="0" fontId="1" fillId="12" borderId="3" xfId="0" applyFont="1" applyFill="1" applyBorder="1" applyAlignment="1" applyProtection="1">
      <alignment horizontal="left" vertical="center"/>
      <protection locked="0"/>
    </xf>
    <xf numFmtId="0" fontId="1" fillId="12" borderId="2" xfId="0" applyFont="1" applyFill="1" applyBorder="1" applyAlignment="1" applyProtection="1">
      <alignment horizontal="left" vertical="center"/>
      <protection locked="0"/>
    </xf>
    <xf numFmtId="0" fontId="1" fillId="12" borderId="4" xfId="0" applyFont="1" applyFill="1" applyBorder="1" applyAlignment="1" applyProtection="1">
      <alignment horizontal="left" vertical="center"/>
      <protection locked="0"/>
    </xf>
    <xf numFmtId="0" fontId="0" fillId="2" borderId="1" xfId="0" applyFill="1" applyBorder="1" applyAlignment="1" applyProtection="1">
      <alignment horizontal="center"/>
      <protection locked="0"/>
    </xf>
    <xf numFmtId="0" fontId="0" fillId="2" borderId="1" xfId="0" applyFill="1" applyBorder="1" applyAlignment="1">
      <alignment horizontal="center"/>
    </xf>
    <xf numFmtId="0" fontId="0" fillId="2" borderId="1" xfId="0" applyFill="1" applyBorder="1" applyAlignment="1" applyProtection="1">
      <alignment horizontal="center" wrapText="1"/>
      <protection locked="0"/>
    </xf>
    <xf numFmtId="0" fontId="0" fillId="2" borderId="62"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7" fillId="3" borderId="1" xfId="0" applyFont="1" applyFill="1" applyBorder="1" applyAlignment="1">
      <alignment horizontal="center" vertical="center" wrapText="1"/>
    </xf>
    <xf numFmtId="0" fontId="7" fillId="3" borderId="64" xfId="0" applyFont="1" applyFill="1" applyBorder="1" applyAlignment="1">
      <alignment horizontal="right" vertical="center" wrapText="1"/>
    </xf>
    <xf numFmtId="0" fontId="0" fillId="2" borderId="68" xfId="0" applyFill="1" applyBorder="1" applyAlignment="1" applyProtection="1">
      <alignment horizontal="center" vertical="top"/>
      <protection locked="0"/>
    </xf>
    <xf numFmtId="0" fontId="0" fillId="2" borderId="69" xfId="0" applyFill="1" applyBorder="1" applyAlignment="1" applyProtection="1">
      <alignment horizontal="center" vertical="top"/>
      <protection locked="0"/>
    </xf>
    <xf numFmtId="0" fontId="0" fillId="2" borderId="67" xfId="0" applyFill="1" applyBorder="1" applyAlignment="1" applyProtection="1">
      <alignment horizontal="center" vertical="top"/>
      <protection locked="0"/>
    </xf>
    <xf numFmtId="0" fontId="0" fillId="2" borderId="57" xfId="0" applyFill="1" applyBorder="1" applyAlignment="1" applyProtection="1">
      <alignment horizontal="center" vertical="top"/>
      <protection locked="0"/>
    </xf>
    <xf numFmtId="0" fontId="0" fillId="2" borderId="65" xfId="0" applyFill="1" applyBorder="1" applyAlignment="1" applyProtection="1">
      <alignment horizontal="center" vertical="top"/>
      <protection locked="0"/>
    </xf>
    <xf numFmtId="0" fontId="0" fillId="2" borderId="66" xfId="0" applyFill="1" applyBorder="1" applyAlignment="1" applyProtection="1">
      <alignment horizontal="center" vertical="top"/>
      <protection locked="0"/>
    </xf>
    <xf numFmtId="0" fontId="1" fillId="12" borderId="0" xfId="0" applyFont="1" applyFill="1" applyAlignment="1">
      <alignment horizontal="right" vertical="center"/>
    </xf>
    <xf numFmtId="0" fontId="0" fillId="12" borderId="0" xfId="0" applyFill="1" applyAlignment="1">
      <alignment horizontal="right" vertical="center"/>
    </xf>
    <xf numFmtId="0" fontId="0" fillId="13" borderId="3" xfId="0" applyFill="1" applyBorder="1" applyAlignment="1" applyProtection="1">
      <alignment horizontal="center" vertical="center"/>
      <protection locked="0"/>
    </xf>
    <xf numFmtId="0" fontId="0" fillId="13" borderId="4" xfId="0" applyFill="1" applyBorder="1" applyAlignment="1" applyProtection="1">
      <alignment horizontal="center" vertical="center"/>
      <protection locked="0"/>
    </xf>
    <xf numFmtId="0" fontId="1" fillId="12" borderId="84" xfId="0" applyFont="1" applyFill="1" applyBorder="1" applyAlignment="1" applyProtection="1">
      <alignment horizontal="left" vertical="center"/>
      <protection locked="0"/>
    </xf>
    <xf numFmtId="0" fontId="0" fillId="13" borderId="78" xfId="0" applyFill="1" applyBorder="1" applyAlignment="1" applyProtection="1">
      <alignment horizontal="center" vertical="center"/>
      <protection locked="0"/>
    </xf>
    <xf numFmtId="0" fontId="0" fillId="13" borderId="79" xfId="0" applyFill="1" applyBorder="1" applyAlignment="1" applyProtection="1">
      <alignment horizontal="center" vertical="center"/>
      <protection locked="0"/>
    </xf>
    <xf numFmtId="0" fontId="0" fillId="13" borderId="80" xfId="0" applyFill="1" applyBorder="1" applyAlignment="1" applyProtection="1">
      <alignment horizontal="center" vertical="center"/>
      <protection locked="0"/>
    </xf>
    <xf numFmtId="0" fontId="0" fillId="13" borderId="85" xfId="0" applyFill="1" applyBorder="1" applyAlignment="1" applyProtection="1">
      <alignment horizontal="center" vertical="center"/>
      <protection locked="0"/>
    </xf>
    <xf numFmtId="0" fontId="0" fillId="13" borderId="0" xfId="0" applyFill="1" applyAlignment="1" applyProtection="1">
      <alignment horizontal="center" vertical="center"/>
      <protection locked="0"/>
    </xf>
    <xf numFmtId="0" fontId="0" fillId="13" borderId="86" xfId="0" applyFill="1" applyBorder="1" applyAlignment="1" applyProtection="1">
      <alignment horizontal="center" vertical="center"/>
      <protection locked="0"/>
    </xf>
    <xf numFmtId="0" fontId="0" fillId="13" borderId="81" xfId="0" applyFill="1" applyBorder="1" applyAlignment="1" applyProtection="1">
      <alignment horizontal="center" vertical="center"/>
      <protection locked="0"/>
    </xf>
    <xf numFmtId="0" fontId="0" fillId="13" borderId="82" xfId="0" applyFill="1" applyBorder="1" applyAlignment="1" applyProtection="1">
      <alignment horizontal="center" vertical="center"/>
      <protection locked="0"/>
    </xf>
    <xf numFmtId="0" fontId="0" fillId="13" borderId="83" xfId="0" applyFill="1" applyBorder="1" applyAlignment="1" applyProtection="1">
      <alignment horizontal="center" vertical="center"/>
      <protection locked="0"/>
    </xf>
    <xf numFmtId="0" fontId="0" fillId="13" borderId="3" xfId="0" applyFill="1" applyBorder="1" applyAlignment="1" applyProtection="1">
      <alignment horizontal="center" vertical="center" shrinkToFit="1"/>
      <protection locked="0"/>
    </xf>
    <xf numFmtId="0" fontId="0" fillId="13" borderId="2" xfId="0" applyFill="1" applyBorder="1" applyAlignment="1" applyProtection="1">
      <alignment horizontal="center" vertical="center" shrinkToFit="1"/>
      <protection locked="0"/>
    </xf>
    <xf numFmtId="0" fontId="0" fillId="13" borderId="4" xfId="0" applyFill="1" applyBorder="1" applyAlignment="1" applyProtection="1">
      <alignment horizontal="center" vertical="center" shrinkToFit="1"/>
      <protection locked="0"/>
    </xf>
    <xf numFmtId="0" fontId="0" fillId="2" borderId="1" xfId="0" applyFill="1" applyBorder="1" applyAlignment="1">
      <alignment horizontal="left"/>
    </xf>
    <xf numFmtId="0" fontId="0" fillId="10" borderId="72" xfId="0" applyFill="1" applyBorder="1" applyAlignment="1" applyProtection="1">
      <alignment horizontal="center"/>
      <protection locked="0"/>
    </xf>
    <xf numFmtId="0" fontId="0" fillId="10" borderId="73" xfId="0" applyFill="1" applyBorder="1" applyAlignment="1" applyProtection="1">
      <alignment horizontal="center"/>
      <protection locked="0"/>
    </xf>
    <xf numFmtId="0" fontId="0" fillId="10" borderId="74" xfId="0" applyFill="1" applyBorder="1" applyAlignment="1" applyProtection="1">
      <alignment horizontal="center"/>
      <protection locked="0"/>
    </xf>
    <xf numFmtId="0" fontId="0" fillId="10" borderId="70" xfId="0" applyFill="1" applyBorder="1" applyAlignment="1" applyProtection="1">
      <alignment horizontal="center"/>
      <protection locked="0"/>
    </xf>
    <xf numFmtId="0" fontId="0" fillId="10" borderId="0" xfId="0" applyFill="1" applyAlignment="1" applyProtection="1">
      <alignment horizontal="center"/>
      <protection locked="0"/>
    </xf>
    <xf numFmtId="0" fontId="0" fillId="10" borderId="71" xfId="0" applyFill="1" applyBorder="1" applyAlignment="1" applyProtection="1">
      <alignment horizontal="center"/>
      <protection locked="0"/>
    </xf>
    <xf numFmtId="0" fontId="0" fillId="10" borderId="75" xfId="0" applyFill="1" applyBorder="1" applyAlignment="1" applyProtection="1">
      <alignment horizontal="center"/>
      <protection locked="0"/>
    </xf>
    <xf numFmtId="0" fontId="0" fillId="10" borderId="76" xfId="0" applyFill="1" applyBorder="1" applyAlignment="1" applyProtection="1">
      <alignment horizontal="center"/>
      <protection locked="0"/>
    </xf>
    <xf numFmtId="0" fontId="0" fillId="10" borderId="77" xfId="0" applyFill="1" applyBorder="1" applyAlignment="1" applyProtection="1">
      <alignment horizontal="center"/>
      <protection locked="0"/>
    </xf>
    <xf numFmtId="0" fontId="9" fillId="4" borderId="6" xfId="0" applyFont="1" applyFill="1" applyBorder="1" applyAlignment="1">
      <alignment horizontal="center" vertical="center" wrapText="1"/>
    </xf>
    <xf numFmtId="0" fontId="9" fillId="4" borderId="62" xfId="0" applyFont="1" applyFill="1" applyBorder="1" applyAlignment="1">
      <alignment horizontal="left" vertical="center"/>
    </xf>
    <xf numFmtId="0" fontId="9" fillId="4" borderId="63" xfId="0" applyFont="1" applyFill="1" applyBorder="1" applyAlignment="1">
      <alignment horizontal="left" vertical="center"/>
    </xf>
    <xf numFmtId="0" fontId="9" fillId="4" borderId="64" xfId="0" applyFont="1" applyFill="1" applyBorder="1" applyAlignment="1">
      <alignment horizontal="left" vertical="center"/>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0" fillId="2" borderId="59" xfId="0" applyFill="1" applyBorder="1" applyAlignment="1">
      <alignment horizontal="center"/>
    </xf>
    <xf numFmtId="0" fontId="0" fillId="2" borderId="0" xfId="0" applyFill="1" applyAlignment="1">
      <alignment horizontal="center"/>
    </xf>
    <xf numFmtId="0" fontId="0" fillId="2" borderId="56" xfId="0" applyFill="1" applyBorder="1" applyAlignment="1">
      <alignment horizontal="left"/>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35" xfId="0" applyFont="1" applyFill="1" applyBorder="1" applyAlignment="1">
      <alignment horizontal="center" vertical="center" wrapText="1"/>
    </xf>
    <xf numFmtId="49" fontId="0" fillId="2" borderId="1" xfId="0" applyNumberFormat="1" applyFill="1" applyBorder="1" applyAlignment="1">
      <alignment horizontal="center"/>
    </xf>
    <xf numFmtId="49" fontId="0" fillId="2" borderId="1" xfId="0" applyNumberFormat="1" applyFill="1" applyBorder="1" applyAlignment="1">
      <alignment horizontal="left"/>
    </xf>
    <xf numFmtId="0" fontId="8" fillId="4" borderId="46" xfId="0" applyFont="1" applyFill="1" applyBorder="1" applyAlignment="1">
      <alignment horizontal="left" vertical="center" wrapText="1"/>
    </xf>
    <xf numFmtId="0" fontId="8" fillId="4" borderId="41"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0" fillId="5" borderId="0" xfId="0" applyFill="1" applyAlignment="1">
      <alignment horizontal="center" vertical="center" wrapText="1"/>
    </xf>
    <xf numFmtId="0" fontId="9" fillId="4" borderId="46" xfId="0" applyFont="1" applyFill="1" applyBorder="1" applyAlignment="1">
      <alignment horizontal="left"/>
    </xf>
    <xf numFmtId="0" fontId="9" fillId="4" borderId="35" xfId="0" applyFont="1" applyFill="1" applyBorder="1" applyAlignment="1">
      <alignment horizontal="left"/>
    </xf>
    <xf numFmtId="166" fontId="0" fillId="7" borderId="46" xfId="0" applyNumberFormat="1" applyFill="1" applyBorder="1" applyAlignment="1">
      <alignment horizontal="center"/>
    </xf>
    <xf numFmtId="166" fontId="0" fillId="7" borderId="35" xfId="0" applyNumberFormat="1" applyFill="1" applyBorder="1" applyAlignment="1">
      <alignment horizontal="center"/>
    </xf>
    <xf numFmtId="0" fontId="9" fillId="4" borderId="46" xfId="0" applyFont="1" applyFill="1" applyBorder="1" applyAlignment="1">
      <alignment horizontal="left" wrapText="1"/>
    </xf>
    <xf numFmtId="0" fontId="9" fillId="4" borderId="35" xfId="0" applyFont="1" applyFill="1" applyBorder="1" applyAlignment="1">
      <alignment horizontal="left" wrapText="1"/>
    </xf>
    <xf numFmtId="166" fontId="0" fillId="2" borderId="46" xfId="0" applyNumberFormat="1" applyFill="1" applyBorder="1" applyAlignment="1" applyProtection="1">
      <alignment horizontal="center"/>
      <protection locked="0"/>
    </xf>
    <xf numFmtId="166" fontId="0" fillId="2" borderId="35" xfId="0" applyNumberFormat="1" applyFill="1" applyBorder="1" applyAlignment="1" applyProtection="1">
      <alignment horizontal="center"/>
      <protection locked="0"/>
    </xf>
    <xf numFmtId="0" fontId="8" fillId="4" borderId="6" xfId="0" applyFont="1" applyFill="1" applyBorder="1" applyAlignment="1">
      <alignment horizontal="left" vertical="center" wrapText="1"/>
    </xf>
    <xf numFmtId="0" fontId="8" fillId="4" borderId="46"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9" fillId="11" borderId="76" xfId="0" applyFont="1" applyFill="1" applyBorder="1" applyAlignment="1">
      <alignment horizontal="center"/>
    </xf>
    <xf numFmtId="0" fontId="7" fillId="3" borderId="1" xfId="0" applyFont="1" applyFill="1" applyBorder="1" applyAlignment="1">
      <alignment horizontal="right" vertical="center" wrapText="1"/>
    </xf>
    <xf numFmtId="0" fontId="0" fillId="2" borderId="1" xfId="0" applyFill="1" applyBorder="1" applyAlignment="1" applyProtection="1">
      <alignment horizontal="left" vertical="top"/>
      <protection locked="0"/>
    </xf>
    <xf numFmtId="0" fontId="9" fillId="4" borderId="6" xfId="0" applyFont="1" applyFill="1" applyBorder="1" applyAlignment="1">
      <alignment horizontal="center" vertical="center"/>
    </xf>
    <xf numFmtId="0" fontId="8" fillId="4" borderId="6" xfId="0" applyFont="1" applyFill="1" applyBorder="1" applyAlignment="1">
      <alignment horizontal="center" vertical="center" wrapText="1"/>
    </xf>
    <xf numFmtId="0" fontId="0" fillId="2" borderId="6"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7" borderId="62" xfId="0" applyFill="1" applyBorder="1" applyAlignment="1">
      <alignment horizontal="left" vertical="center" wrapText="1"/>
    </xf>
    <xf numFmtId="0" fontId="0" fillId="7" borderId="63" xfId="0" applyFill="1" applyBorder="1" applyAlignment="1">
      <alignment horizontal="left" vertical="center" wrapText="1"/>
    </xf>
    <xf numFmtId="0" fontId="0" fillId="7" borderId="64" xfId="0" applyFill="1" applyBorder="1" applyAlignment="1">
      <alignment horizontal="left" vertical="center" wrapText="1"/>
    </xf>
    <xf numFmtId="0" fontId="0" fillId="5" borderId="0" xfId="0" applyFill="1" applyAlignment="1">
      <alignment horizontal="left" vertical="center" wrapText="1"/>
    </xf>
    <xf numFmtId="0" fontId="8" fillId="4" borderId="41" xfId="0" applyFont="1" applyFill="1" applyBorder="1" applyAlignment="1">
      <alignment horizontal="center" vertical="center" wrapText="1"/>
    </xf>
    <xf numFmtId="0" fontId="0" fillId="5" borderId="59" xfId="0" applyFill="1" applyBorder="1" applyAlignment="1">
      <alignment vertical="top" wrapText="1"/>
    </xf>
    <xf numFmtId="0" fontId="0" fillId="5" borderId="69" xfId="0" applyFill="1" applyBorder="1" applyAlignment="1">
      <alignment vertical="top" wrapText="1"/>
    </xf>
    <xf numFmtId="0" fontId="0" fillId="5" borderId="0" xfId="0" applyFill="1" applyAlignment="1">
      <alignment vertical="top" wrapText="1"/>
    </xf>
    <xf numFmtId="0" fontId="0" fillId="5" borderId="57" xfId="0" applyFill="1" applyBorder="1" applyAlignment="1">
      <alignment vertical="top" wrapText="1"/>
    </xf>
    <xf numFmtId="0" fontId="16" fillId="5" borderId="60" xfId="0" applyFont="1" applyFill="1" applyBorder="1" applyAlignment="1">
      <alignment horizontal="center" vertical="center"/>
    </xf>
    <xf numFmtId="0" fontId="16" fillId="5" borderId="61" xfId="0" applyFont="1" applyFill="1" applyBorder="1" applyAlignment="1">
      <alignment horizontal="center" vertical="center"/>
    </xf>
    <xf numFmtId="0" fontId="16" fillId="5" borderId="58" xfId="0" applyFont="1" applyFill="1" applyBorder="1" applyAlignment="1">
      <alignment horizontal="center" vertical="center"/>
    </xf>
    <xf numFmtId="0" fontId="0" fillId="5" borderId="0" xfId="0" applyFill="1" applyAlignment="1">
      <alignment wrapText="1"/>
    </xf>
    <xf numFmtId="0" fontId="16" fillId="5" borderId="57" xfId="0" applyFont="1" applyFill="1" applyBorder="1" applyAlignment="1">
      <alignment horizontal="center" vertical="center"/>
    </xf>
    <xf numFmtId="0" fontId="3" fillId="4" borderId="62" xfId="0" applyFont="1" applyFill="1" applyBorder="1" applyAlignment="1">
      <alignment horizontal="center" vertical="center"/>
    </xf>
    <xf numFmtId="0" fontId="3" fillId="4" borderId="63" xfId="0" applyFont="1" applyFill="1" applyBorder="1" applyAlignment="1">
      <alignment horizontal="center" vertical="center"/>
    </xf>
    <xf numFmtId="0" fontId="3" fillId="4" borderId="56" xfId="0" applyFont="1" applyFill="1" applyBorder="1" applyAlignment="1">
      <alignment horizontal="center" vertical="center"/>
    </xf>
    <xf numFmtId="0" fontId="3" fillId="4" borderId="64" xfId="0" applyFont="1" applyFill="1" applyBorder="1" applyAlignment="1">
      <alignment horizontal="center" vertical="center"/>
    </xf>
    <xf numFmtId="0" fontId="0" fillId="5" borderId="60" xfId="0" applyFill="1" applyBorder="1" applyAlignment="1">
      <alignment horizontal="center" vertical="center"/>
    </xf>
    <xf numFmtId="0" fontId="0" fillId="5" borderId="61" xfId="0" applyFill="1" applyBorder="1" applyAlignment="1">
      <alignment horizontal="center" vertical="center"/>
    </xf>
    <xf numFmtId="0" fontId="0" fillId="5" borderId="58" xfId="0" applyFill="1" applyBorder="1" applyAlignment="1">
      <alignment horizontal="center" vertical="center"/>
    </xf>
    <xf numFmtId="0" fontId="0" fillId="5" borderId="0" xfId="0" applyFill="1" applyAlignment="1">
      <alignment horizontal="left" wrapText="1"/>
    </xf>
    <xf numFmtId="0" fontId="15" fillId="5" borderId="1" xfId="0" applyFont="1" applyFill="1" applyBorder="1" applyAlignment="1">
      <alignment horizontal="center" vertical="center"/>
    </xf>
    <xf numFmtId="0" fontId="0" fillId="5" borderId="0" xfId="0" applyFill="1" applyAlignment="1">
      <alignment horizontal="left" vertical="top" wrapText="1"/>
    </xf>
    <xf numFmtId="0" fontId="14" fillId="4" borderId="6" xfId="0" applyFont="1" applyFill="1" applyBorder="1" applyAlignment="1">
      <alignment vertical="center"/>
    </xf>
    <xf numFmtId="0" fontId="0" fillId="8" borderId="0" xfId="0" applyFill="1" applyAlignment="1">
      <alignment horizontal="left" wrapText="1"/>
    </xf>
    <xf numFmtId="0" fontId="3" fillId="4" borderId="1" xfId="0" applyFont="1" applyFill="1" applyBorder="1" applyAlignment="1">
      <alignment horizontal="center" vertical="center"/>
    </xf>
    <xf numFmtId="0" fontId="3" fillId="4" borderId="58" xfId="0" applyFont="1" applyFill="1" applyBorder="1" applyAlignment="1">
      <alignment horizontal="center" vertical="center"/>
    </xf>
    <xf numFmtId="0" fontId="3" fillId="4" borderId="60" xfId="0" applyFont="1" applyFill="1" applyBorder="1" applyAlignment="1">
      <alignment horizontal="center" vertical="center"/>
    </xf>
    <xf numFmtId="0" fontId="0" fillId="8" borderId="0" xfId="0" applyFill="1" applyAlignment="1">
      <alignment wrapText="1"/>
    </xf>
    <xf numFmtId="0" fontId="0" fillId="2" borderId="62" xfId="0" applyFill="1" applyBorder="1" applyProtection="1">
      <protection locked="0"/>
    </xf>
    <xf numFmtId="0" fontId="0" fillId="2" borderId="63" xfId="0" applyFill="1" applyBorder="1" applyProtection="1">
      <protection locked="0"/>
    </xf>
    <xf numFmtId="0" fontId="0" fillId="2" borderId="64" xfId="0" applyFill="1" applyBorder="1" applyProtection="1">
      <protection locked="0"/>
    </xf>
    <xf numFmtId="0" fontId="0" fillId="5" borderId="59" xfId="0" applyFill="1" applyBorder="1" applyAlignment="1">
      <alignment horizontal="left" vertical="top" wrapText="1"/>
    </xf>
    <xf numFmtId="0" fontId="0" fillId="5" borderId="69" xfId="0" applyFill="1" applyBorder="1" applyAlignment="1">
      <alignment horizontal="left" vertical="top" wrapText="1"/>
    </xf>
    <xf numFmtId="0" fontId="0" fillId="5" borderId="57" xfId="0" applyFill="1" applyBorder="1" applyAlignment="1">
      <alignment horizontal="left" vertical="top" wrapText="1"/>
    </xf>
    <xf numFmtId="0" fontId="7" fillId="7" borderId="1" xfId="0" applyFont="1" applyFill="1" applyBorder="1" applyAlignment="1">
      <alignment horizontal="center" vertical="center"/>
    </xf>
    <xf numFmtId="0" fontId="0" fillId="5" borderId="57" xfId="0" applyFill="1" applyBorder="1" applyAlignment="1">
      <alignment horizontal="left" vertical="center" wrapText="1"/>
    </xf>
    <xf numFmtId="0" fontId="0" fillId="5" borderId="56" xfId="0" applyFill="1" applyBorder="1" applyAlignment="1">
      <alignment horizontal="left" vertical="center" wrapText="1"/>
    </xf>
    <xf numFmtId="0" fontId="0" fillId="5" borderId="66" xfId="0" applyFill="1" applyBorder="1" applyAlignment="1">
      <alignment horizontal="left" vertical="center" wrapText="1"/>
    </xf>
    <xf numFmtId="0" fontId="7" fillId="7" borderId="62" xfId="0" applyFont="1" applyFill="1" applyBorder="1" applyAlignment="1">
      <alignment horizontal="center" vertical="center"/>
    </xf>
    <xf numFmtId="0" fontId="7" fillId="7" borderId="64" xfId="0" applyFont="1" applyFill="1" applyBorder="1" applyAlignment="1">
      <alignment horizontal="center" vertical="center"/>
    </xf>
    <xf numFmtId="0" fontId="7" fillId="7" borderId="1" xfId="0" applyFont="1" applyFill="1" applyBorder="1" applyAlignment="1">
      <alignment horizontal="center" vertical="center" wrapText="1"/>
    </xf>
    <xf numFmtId="0" fontId="0" fillId="7" borderId="60" xfId="0" applyFill="1" applyBorder="1" applyAlignment="1">
      <alignment horizontal="center" vertical="center"/>
    </xf>
    <xf numFmtId="0" fontId="0" fillId="7" borderId="61" xfId="0" applyFill="1" applyBorder="1" applyAlignment="1">
      <alignment horizontal="center" vertical="center"/>
    </xf>
    <xf numFmtId="0" fontId="0" fillId="7" borderId="58" xfId="0" applyFill="1" applyBorder="1" applyAlignment="1">
      <alignment horizontal="center" vertical="center"/>
    </xf>
    <xf numFmtId="0" fontId="0" fillId="7" borderId="60" xfId="0" applyFill="1" applyBorder="1" applyAlignment="1">
      <alignment horizontal="left" vertical="center"/>
    </xf>
    <xf numFmtId="0" fontId="0" fillId="7" borderId="61" xfId="0" applyFill="1" applyBorder="1" applyAlignment="1">
      <alignment horizontal="left" vertical="center"/>
    </xf>
    <xf numFmtId="0" fontId="0" fillId="7" borderId="58" xfId="0" applyFill="1" applyBorder="1" applyAlignment="1">
      <alignment horizontal="left" vertical="center"/>
    </xf>
    <xf numFmtId="0" fontId="0" fillId="5" borderId="57" xfId="0" applyFill="1" applyBorder="1" applyAlignment="1">
      <alignment wrapText="1"/>
    </xf>
    <xf numFmtId="0" fontId="0" fillId="5" borderId="57" xfId="0" applyFill="1" applyBorder="1" applyAlignment="1">
      <alignment horizontal="left" wrapText="1"/>
    </xf>
    <xf numFmtId="0" fontId="16" fillId="5" borderId="1" xfId="0" applyFont="1" applyFill="1" applyBorder="1" applyAlignment="1">
      <alignment horizontal="center" vertical="center"/>
    </xf>
    <xf numFmtId="0" fontId="0" fillId="8" borderId="0" xfId="0" applyFill="1" applyAlignment="1">
      <alignment horizontal="left" vertical="top" wrapText="1"/>
    </xf>
    <xf numFmtId="0" fontId="0" fillId="8" borderId="59" xfId="0" applyFill="1" applyBorder="1" applyAlignment="1">
      <alignment wrapText="1"/>
    </xf>
    <xf numFmtId="0" fontId="0" fillId="7" borderId="62" xfId="0" applyFill="1" applyBorder="1" applyAlignment="1">
      <alignment vertical="center" wrapText="1"/>
    </xf>
    <xf numFmtId="0" fontId="0" fillId="7" borderId="64" xfId="0" applyFill="1" applyBorder="1" applyAlignment="1">
      <alignment vertical="center" wrapText="1"/>
    </xf>
    <xf numFmtId="0" fontId="0" fillId="7" borderId="62" xfId="0" applyFill="1" applyBorder="1" applyAlignment="1">
      <alignment vertical="center"/>
    </xf>
    <xf numFmtId="0" fontId="0" fillId="7" borderId="64" xfId="0" applyFill="1" applyBorder="1" applyAlignment="1">
      <alignment vertical="center"/>
    </xf>
    <xf numFmtId="0" fontId="0" fillId="5" borderId="0" xfId="0" applyFill="1" applyAlignment="1">
      <alignment horizontal="center" vertical="center"/>
    </xf>
    <xf numFmtId="0" fontId="16" fillId="5" borderId="0" xfId="0" applyFont="1" applyFill="1" applyAlignment="1">
      <alignment horizontal="center" vertical="center"/>
    </xf>
    <xf numFmtId="0" fontId="0" fillId="2" borderId="68" xfId="0" applyFill="1" applyBorder="1" applyProtection="1">
      <protection locked="0"/>
    </xf>
    <xf numFmtId="0" fontId="0" fillId="2" borderId="69" xfId="0" applyFill="1" applyBorder="1" applyProtection="1">
      <protection locked="0"/>
    </xf>
    <xf numFmtId="0" fontId="0" fillId="8" borderId="59" xfId="0" applyFill="1" applyBorder="1" applyProtection="1">
      <protection locked="0"/>
    </xf>
    <xf numFmtId="0" fontId="0" fillId="2" borderId="59" xfId="0" applyFill="1" applyBorder="1" applyProtection="1">
      <protection locked="0"/>
    </xf>
    <xf numFmtId="0" fontId="0" fillId="7" borderId="1" xfId="0" applyFill="1" applyBorder="1" applyAlignment="1">
      <alignment horizontal="center" vertical="center" wrapText="1"/>
    </xf>
    <xf numFmtId="0" fontId="0" fillId="8" borderId="59" xfId="0" applyFill="1" applyBorder="1" applyAlignment="1">
      <alignment horizontal="left" vertical="top" wrapText="1"/>
    </xf>
    <xf numFmtId="0" fontId="8" fillId="4" borderId="70" xfId="0" applyFont="1" applyFill="1" applyBorder="1" applyAlignment="1">
      <alignment horizontal="left" vertical="center"/>
    </xf>
    <xf numFmtId="0" fontId="8" fillId="4" borderId="0" xfId="0" applyFont="1" applyFill="1" applyAlignment="1">
      <alignment horizontal="left" vertical="center"/>
    </xf>
    <xf numFmtId="0" fontId="8" fillId="4" borderId="71" xfId="0" applyFont="1" applyFill="1" applyBorder="1" applyAlignment="1">
      <alignment horizontal="left" vertical="center"/>
    </xf>
    <xf numFmtId="0" fontId="0" fillId="5" borderId="11" xfId="0" applyFill="1" applyBorder="1" applyAlignment="1">
      <alignment horizontal="left" vertical="center" wrapText="1"/>
    </xf>
    <xf numFmtId="0" fontId="0" fillId="5" borderId="10" xfId="0" applyFill="1" applyBorder="1" applyAlignment="1">
      <alignment horizontal="left" vertical="center" wrapText="1"/>
    </xf>
    <xf numFmtId="0" fontId="2" fillId="5" borderId="16"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48"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2" fillId="5" borderId="50" xfId="0" applyFont="1" applyFill="1" applyBorder="1" applyAlignment="1">
      <alignment horizontal="center" vertical="center" wrapText="1"/>
    </xf>
    <xf numFmtId="0" fontId="4" fillId="5" borderId="53" xfId="0" applyFont="1" applyFill="1" applyBorder="1" applyAlignment="1">
      <alignment horizontal="center" vertical="center" textRotation="90" wrapText="1"/>
    </xf>
    <xf numFmtId="0" fontId="4" fillId="5" borderId="55" xfId="0" applyFont="1" applyFill="1" applyBorder="1" applyAlignment="1">
      <alignment horizontal="center" vertical="center" textRotation="90" wrapText="1"/>
    </xf>
    <xf numFmtId="0" fontId="4" fillId="5" borderId="19" xfId="0" applyFont="1" applyFill="1" applyBorder="1" applyAlignment="1">
      <alignment horizontal="center" vertical="center" textRotation="90" wrapText="1"/>
    </xf>
    <xf numFmtId="0" fontId="4" fillId="5" borderId="20" xfId="0" applyFont="1" applyFill="1" applyBorder="1" applyAlignment="1">
      <alignment horizontal="center" vertical="center" textRotation="90" wrapText="1"/>
    </xf>
    <xf numFmtId="0" fontId="4" fillId="5" borderId="21" xfId="0" applyFont="1" applyFill="1" applyBorder="1" applyAlignment="1">
      <alignment horizontal="center" vertical="center" textRotation="90" wrapText="1"/>
    </xf>
    <xf numFmtId="0" fontId="4" fillId="5" borderId="22" xfId="0" applyFont="1" applyFill="1" applyBorder="1" applyAlignment="1">
      <alignment horizontal="center" vertical="center" textRotation="90" wrapText="1"/>
    </xf>
    <xf numFmtId="0" fontId="4" fillId="5" borderId="17" xfId="0" applyFont="1" applyFill="1" applyBorder="1" applyAlignment="1">
      <alignment horizontal="center" vertical="center" textRotation="90" wrapText="1"/>
    </xf>
    <xf numFmtId="0" fontId="4" fillId="5" borderId="18" xfId="0" applyFont="1" applyFill="1" applyBorder="1" applyAlignment="1">
      <alignment horizontal="center" vertical="center" textRotation="90" wrapText="1"/>
    </xf>
    <xf numFmtId="0" fontId="4" fillId="5" borderId="51" xfId="0" applyFont="1" applyFill="1" applyBorder="1" applyAlignment="1">
      <alignment horizontal="center" vertical="center" textRotation="90" wrapText="1"/>
    </xf>
    <xf numFmtId="0" fontId="4" fillId="5" borderId="54" xfId="0" applyFont="1" applyFill="1" applyBorder="1" applyAlignment="1">
      <alignment horizontal="center" vertical="center" textRotation="90" wrapText="1"/>
    </xf>
    <xf numFmtId="0" fontId="4" fillId="5" borderId="52" xfId="0" applyFont="1" applyFill="1" applyBorder="1" applyAlignment="1">
      <alignment horizontal="center" vertical="center" textRotation="90" wrapText="1"/>
    </xf>
    <xf numFmtId="0" fontId="4" fillId="5" borderId="43" xfId="0" applyFont="1" applyFill="1" applyBorder="1" applyAlignment="1">
      <alignment horizontal="center" vertical="center" textRotation="90" wrapText="1"/>
    </xf>
    <xf numFmtId="0" fontId="4" fillId="5" borderId="44" xfId="0" applyFont="1" applyFill="1" applyBorder="1" applyAlignment="1">
      <alignment horizontal="center" vertical="center" textRotation="90" wrapText="1"/>
    </xf>
    <xf numFmtId="0" fontId="7" fillId="5" borderId="1" xfId="0" applyFont="1" applyFill="1" applyBorder="1" applyAlignment="1">
      <alignment horizontal="center"/>
    </xf>
    <xf numFmtId="0" fontId="0" fillId="5" borderId="1" xfId="0" applyFill="1" applyBorder="1" applyAlignment="1">
      <alignment wrapText="1"/>
    </xf>
    <xf numFmtId="0" fontId="0" fillId="5" borderId="59" xfId="0" applyFill="1" applyBorder="1" applyAlignment="1">
      <alignment wrapText="1"/>
    </xf>
    <xf numFmtId="0" fontId="0" fillId="5" borderId="1" xfId="0" applyFill="1" applyBorder="1"/>
    <xf numFmtId="0" fontId="7" fillId="5" borderId="1"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cellXfs>
  <cellStyles count="4">
    <cellStyle name="Euro" xfId="1" xr:uid="{00000000-0005-0000-0000-000000000000}"/>
    <cellStyle name="Hipervínculo 2" xfId="3" xr:uid="{00000000-0005-0000-0000-000001000000}"/>
    <cellStyle name="Normal" xfId="0" builtinId="0"/>
    <cellStyle name="Percent" xfId="2" builtinId="5"/>
  </cellStyles>
  <dxfs count="147">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ill>
        <patternFill>
          <bgColor theme="5"/>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C7CE"/>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ont>
        <b/>
        <i val="0"/>
        <color rgb="FFC00000"/>
      </font>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C00000"/>
      </font>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b/>
        <i val="0"/>
        <color rgb="FFC00000"/>
      </font>
    </dxf>
    <dxf>
      <font>
        <b/>
        <i val="0"/>
        <color rgb="FFC00000"/>
      </font>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ont>
        <color rgb="FF92D050"/>
      </font>
    </dxf>
    <dxf>
      <font>
        <color theme="5"/>
      </font>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fmlaLink="$L$5" lockText="1" noThreeD="1"/>
</file>

<file path=xl/ctrlProps/ctrlProp10.xml><?xml version="1.0" encoding="utf-8"?>
<formControlPr xmlns="http://schemas.microsoft.com/office/spreadsheetml/2009/9/main" objectType="CheckBox" fmlaLink="$R$30" lockText="1" noThreeD="1"/>
</file>

<file path=xl/ctrlProps/ctrlProp11.xml><?xml version="1.0" encoding="utf-8"?>
<formControlPr xmlns="http://schemas.microsoft.com/office/spreadsheetml/2009/9/main" objectType="CheckBox" fmlaLink="$L$163" lockText="1" noThreeD="1"/>
</file>

<file path=xl/ctrlProps/ctrlProp12.xml><?xml version="1.0" encoding="utf-8"?>
<formControlPr xmlns="http://schemas.microsoft.com/office/spreadsheetml/2009/9/main" objectType="CheckBox" fmlaLink="$L$166"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L$36" lockText="1" noThreeD="1"/>
</file>

<file path=xl/ctrlProps/ctrlProp16.xml><?xml version="1.0" encoding="utf-8"?>
<formControlPr xmlns="http://schemas.microsoft.com/office/spreadsheetml/2009/9/main" objectType="CheckBox" fmlaLink="$L$39" lockText="1" noThreeD="1"/>
</file>

<file path=xl/ctrlProps/ctrlProp17.xml><?xml version="1.0" encoding="utf-8"?>
<formControlPr xmlns="http://schemas.microsoft.com/office/spreadsheetml/2009/9/main" objectType="CheckBox" fmlaLink="$L$47" lockText="1" noThreeD="1"/>
</file>

<file path=xl/ctrlProps/ctrlProp18.xml><?xml version="1.0" encoding="utf-8"?>
<formControlPr xmlns="http://schemas.microsoft.com/office/spreadsheetml/2009/9/main" objectType="CheckBox" fmlaLink="$L$55" lockText="1" noThreeD="1"/>
</file>

<file path=xl/ctrlProps/ctrlProp19.xml><?xml version="1.0" encoding="utf-8"?>
<formControlPr xmlns="http://schemas.microsoft.com/office/spreadsheetml/2009/9/main" objectType="CheckBox" fmlaLink="$L$67" lockText="1" noThreeD="1"/>
</file>

<file path=xl/ctrlProps/ctrlProp2.xml><?xml version="1.0" encoding="utf-8"?>
<formControlPr xmlns="http://schemas.microsoft.com/office/spreadsheetml/2009/9/main" objectType="CheckBox" fmlaLink="$L$13" lockText="1" noThreeD="1"/>
</file>

<file path=xl/ctrlProps/ctrlProp20.xml><?xml version="1.0" encoding="utf-8"?>
<formControlPr xmlns="http://schemas.microsoft.com/office/spreadsheetml/2009/9/main" objectType="CheckBox" fmlaLink="$L$71" lockText="1" noThreeD="1"/>
</file>

<file path=xl/ctrlProps/ctrlProp21.xml><?xml version="1.0" encoding="utf-8"?>
<formControlPr xmlns="http://schemas.microsoft.com/office/spreadsheetml/2009/9/main" objectType="CheckBox" fmlaLink="$L$81" lockText="1" noThreeD="1"/>
</file>

<file path=xl/ctrlProps/ctrlProp22.xml><?xml version="1.0" encoding="utf-8"?>
<formControlPr xmlns="http://schemas.microsoft.com/office/spreadsheetml/2009/9/main" objectType="CheckBox" fmlaLink="$L$84" lockText="1" noThreeD="1"/>
</file>

<file path=xl/ctrlProps/ctrlProp23.xml><?xml version="1.0" encoding="utf-8"?>
<formControlPr xmlns="http://schemas.microsoft.com/office/spreadsheetml/2009/9/main" objectType="CheckBox" checked="Checked" fmlaLink="$R$36" lockText="1" noThreeD="1"/>
</file>

<file path=xl/ctrlProps/ctrlProp24.xml><?xml version="1.0" encoding="utf-8"?>
<formControlPr xmlns="http://schemas.microsoft.com/office/spreadsheetml/2009/9/main" objectType="CheckBox" checked="Checked" fmlaLink="$R$39" lockText="1" noThreeD="1"/>
</file>

<file path=xl/ctrlProps/ctrlProp25.xml><?xml version="1.0" encoding="utf-8"?>
<formControlPr xmlns="http://schemas.microsoft.com/office/spreadsheetml/2009/9/main" objectType="CheckBox" fmlaLink="$L$87" lockText="1" noThreeD="1"/>
</file>

<file path=xl/ctrlProps/ctrlProp26.xml><?xml version="1.0" encoding="utf-8"?>
<formControlPr xmlns="http://schemas.microsoft.com/office/spreadsheetml/2009/9/main" objectType="CheckBox" fmlaLink="$L$90" lockText="1" noThreeD="1"/>
</file>

<file path=xl/ctrlProps/ctrlProp27.xml><?xml version="1.0" encoding="utf-8"?>
<formControlPr xmlns="http://schemas.microsoft.com/office/spreadsheetml/2009/9/main" objectType="CheckBox" fmlaLink="$L$93" lockText="1" noThreeD="1"/>
</file>

<file path=xl/ctrlProps/ctrlProp28.xml><?xml version="1.0" encoding="utf-8"?>
<formControlPr xmlns="http://schemas.microsoft.com/office/spreadsheetml/2009/9/main" objectType="CheckBox" fmlaLink="$L$95" lockText="1" noThreeD="1"/>
</file>

<file path=xl/ctrlProps/ctrlProp29.xml><?xml version="1.0" encoding="utf-8"?>
<formControlPr xmlns="http://schemas.microsoft.com/office/spreadsheetml/2009/9/main" objectType="CheckBox" fmlaLink="$L$98" lockText="1" noThreeD="1"/>
</file>

<file path=xl/ctrlProps/ctrlProp3.xml><?xml version="1.0" encoding="utf-8"?>
<formControlPr xmlns="http://schemas.microsoft.com/office/spreadsheetml/2009/9/main" objectType="CheckBox" fmlaLink="$L$19" lockText="1" noThreeD="1"/>
</file>

<file path=xl/ctrlProps/ctrlProp30.xml><?xml version="1.0" encoding="utf-8"?>
<formControlPr xmlns="http://schemas.microsoft.com/office/spreadsheetml/2009/9/main" objectType="CheckBox" fmlaLink="$L$100" lockText="1" noThreeD="1"/>
</file>

<file path=xl/ctrlProps/ctrlProp31.xml><?xml version="1.0" encoding="utf-8"?>
<formControlPr xmlns="http://schemas.microsoft.com/office/spreadsheetml/2009/9/main" objectType="CheckBox" fmlaLink="$L$104" lockText="1" noThreeD="1"/>
</file>

<file path=xl/ctrlProps/ctrlProp32.xml><?xml version="1.0" encoding="utf-8"?>
<formControlPr xmlns="http://schemas.microsoft.com/office/spreadsheetml/2009/9/main" objectType="CheckBox" fmlaLink="$L$106" lockText="1" noThreeD="1"/>
</file>

<file path=xl/ctrlProps/ctrlProp33.xml><?xml version="1.0" encoding="utf-8"?>
<formControlPr xmlns="http://schemas.microsoft.com/office/spreadsheetml/2009/9/main" objectType="CheckBox" fmlaLink="$L$109" lockText="1" noThreeD="1"/>
</file>

<file path=xl/ctrlProps/ctrlProp34.xml><?xml version="1.0" encoding="utf-8"?>
<formControlPr xmlns="http://schemas.microsoft.com/office/spreadsheetml/2009/9/main" objectType="CheckBox" fmlaLink="$L$112" lockText="1" noThreeD="1"/>
</file>

<file path=xl/ctrlProps/ctrlProp35.xml><?xml version="1.0" encoding="utf-8"?>
<formControlPr xmlns="http://schemas.microsoft.com/office/spreadsheetml/2009/9/main" objectType="CheckBox" fmlaLink="$L$119" lockText="1" noThreeD="1"/>
</file>

<file path=xl/ctrlProps/ctrlProp36.xml><?xml version="1.0" encoding="utf-8"?>
<formControlPr xmlns="http://schemas.microsoft.com/office/spreadsheetml/2009/9/main" objectType="CheckBox" fmlaLink="$L$124" lockText="1" noThreeD="1"/>
</file>

<file path=xl/ctrlProps/ctrlProp37.xml><?xml version="1.0" encoding="utf-8"?>
<formControlPr xmlns="http://schemas.microsoft.com/office/spreadsheetml/2009/9/main" objectType="CheckBox" fmlaLink="$L$126" lockText="1" noThreeD="1"/>
</file>

<file path=xl/ctrlProps/ctrlProp38.xml><?xml version="1.0" encoding="utf-8"?>
<formControlPr xmlns="http://schemas.microsoft.com/office/spreadsheetml/2009/9/main" objectType="CheckBox" fmlaLink="$L$129" lockText="1" noThreeD="1"/>
</file>

<file path=xl/ctrlProps/ctrlProp39.xml><?xml version="1.0" encoding="utf-8"?>
<formControlPr xmlns="http://schemas.microsoft.com/office/spreadsheetml/2009/9/main" objectType="CheckBox" fmlaLink="$L$134" lockText="1" noThreeD="1"/>
</file>

<file path=xl/ctrlProps/ctrlProp4.xml><?xml version="1.0" encoding="utf-8"?>
<formControlPr xmlns="http://schemas.microsoft.com/office/spreadsheetml/2009/9/main" objectType="CheckBox" fmlaLink="$L$22" lockText="1" noThreeD="1"/>
</file>

<file path=xl/ctrlProps/ctrlProp40.xml><?xml version="1.0" encoding="utf-8"?>
<formControlPr xmlns="http://schemas.microsoft.com/office/spreadsheetml/2009/9/main" objectType="CheckBox" fmlaLink="$L$136" lockText="1" noThreeD="1"/>
</file>

<file path=xl/ctrlProps/ctrlProp41.xml><?xml version="1.0" encoding="utf-8"?>
<formControlPr xmlns="http://schemas.microsoft.com/office/spreadsheetml/2009/9/main" objectType="CheckBox" fmlaLink="$L$140" lockText="1" noThreeD="1"/>
</file>

<file path=xl/ctrlProps/ctrlProp42.xml><?xml version="1.0" encoding="utf-8"?>
<formControlPr xmlns="http://schemas.microsoft.com/office/spreadsheetml/2009/9/main" objectType="CheckBox" fmlaLink="$R$163" lockText="1" noThreeD="1"/>
</file>

<file path=xl/ctrlProps/ctrlProp43.xml><?xml version="1.0" encoding="utf-8"?>
<formControlPr xmlns="http://schemas.microsoft.com/office/spreadsheetml/2009/9/main" objectType="CheckBox" fmlaLink="$L$174" lockText="1" noThreeD="1"/>
</file>

<file path=xl/ctrlProps/ctrlProp44.xml><?xml version="1.0" encoding="utf-8"?>
<formControlPr xmlns="http://schemas.microsoft.com/office/spreadsheetml/2009/9/main" objectType="CheckBox" fmlaLink="$L$177" lockText="1" noThreeD="1"/>
</file>

<file path=xl/ctrlProps/ctrlProp45.xml><?xml version="1.0" encoding="utf-8"?>
<formControlPr xmlns="http://schemas.microsoft.com/office/spreadsheetml/2009/9/main" objectType="CheckBox" fmlaLink="$R$174" lockText="1" noThreeD="1"/>
</file>

<file path=xl/ctrlProps/ctrlProp46.xml><?xml version="1.0" encoding="utf-8"?>
<formControlPr xmlns="http://schemas.microsoft.com/office/spreadsheetml/2009/9/main" objectType="CheckBox" checked="Checked" fmlaLink="$L$182" lockText="1" noThreeD="1"/>
</file>

<file path=xl/ctrlProps/ctrlProp47.xml><?xml version="1.0" encoding="utf-8"?>
<formControlPr xmlns="http://schemas.microsoft.com/office/spreadsheetml/2009/9/main" objectType="CheckBox" checked="Checked" fmlaLink="$L$185" lockText="1" noThreeD="1"/>
</file>

<file path=xl/ctrlProps/ctrlProp48.xml><?xml version="1.0" encoding="utf-8"?>
<formControlPr xmlns="http://schemas.microsoft.com/office/spreadsheetml/2009/9/main" objectType="CheckBox" checked="Checked" fmlaLink="$R$182" lockText="1" noThreeD="1"/>
</file>

<file path=xl/ctrlProps/ctrlProp49.xml><?xml version="1.0" encoding="utf-8"?>
<formControlPr xmlns="http://schemas.microsoft.com/office/spreadsheetml/2009/9/main" objectType="CheckBox" fmlaLink="$L$10" lockText="1" noThreeD="1"/>
</file>

<file path=xl/ctrlProps/ctrlProp5.xml><?xml version="1.0" encoding="utf-8"?>
<formControlPr xmlns="http://schemas.microsoft.com/office/spreadsheetml/2009/9/main" objectType="CheckBox" fmlaLink="$L$8" lockText="1" noThreeD="1"/>
</file>

<file path=xl/ctrlProps/ctrlProp50.xml><?xml version="1.0" encoding="utf-8"?>
<formControlPr xmlns="http://schemas.microsoft.com/office/spreadsheetml/2009/9/main" objectType="CheckBox" fmlaLink="$L$12" lockText="1" noThreeD="1"/>
</file>

<file path=xl/ctrlProps/ctrlProp51.xml><?xml version="1.0" encoding="utf-8"?>
<formControlPr xmlns="http://schemas.microsoft.com/office/spreadsheetml/2009/9/main" objectType="CheckBox" fmlaLink="$R$12" lockText="1" noThreeD="1"/>
</file>

<file path=xl/ctrlProps/ctrlProp52.xml><?xml version="1.0" encoding="utf-8"?>
<formControlPr xmlns="http://schemas.microsoft.com/office/spreadsheetml/2009/9/main" objectType="CheckBox" fmlaLink="$L$149" lockText="1" noThreeD="1"/>
</file>

<file path=xl/ctrlProps/ctrlProp53.xml><?xml version="1.0" encoding="utf-8"?>
<formControlPr xmlns="http://schemas.microsoft.com/office/spreadsheetml/2009/9/main" objectType="CheckBox" fmlaLink="$L$152"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L$18" lockText="1" noThreeD="1"/>
</file>

<file path=xl/ctrlProps/ctrlProp57.xml><?xml version="1.0" encoding="utf-8"?>
<formControlPr xmlns="http://schemas.microsoft.com/office/spreadsheetml/2009/9/main" objectType="CheckBox" fmlaLink="$L$21" lockText="1" noThreeD="1"/>
</file>

<file path=xl/ctrlProps/ctrlProp58.xml><?xml version="1.0" encoding="utf-8"?>
<formControlPr xmlns="http://schemas.microsoft.com/office/spreadsheetml/2009/9/main" objectType="CheckBox" fmlaLink="$L$29" lockText="1" noThreeD="1"/>
</file>

<file path=xl/ctrlProps/ctrlProp59.xml><?xml version="1.0" encoding="utf-8"?>
<formControlPr xmlns="http://schemas.microsoft.com/office/spreadsheetml/2009/9/main" objectType="CheckBox" fmlaLink="$L$37" lockText="1" noThreeD="1"/>
</file>

<file path=xl/ctrlProps/ctrlProp6.xml><?xml version="1.0" encoding="utf-8"?>
<formControlPr xmlns="http://schemas.microsoft.com/office/spreadsheetml/2009/9/main" objectType="CheckBox" fmlaLink="$R$8" lockText="1" noThreeD="1"/>
</file>

<file path=xl/ctrlProps/ctrlProp60.xml><?xml version="1.0" encoding="utf-8"?>
<formControlPr xmlns="http://schemas.microsoft.com/office/spreadsheetml/2009/9/main" objectType="CheckBox" fmlaLink="$L$40" lockText="1" noThreeD="1"/>
</file>

<file path=xl/ctrlProps/ctrlProp61.xml><?xml version="1.0" encoding="utf-8"?>
<formControlPr xmlns="http://schemas.microsoft.com/office/spreadsheetml/2009/9/main" objectType="CheckBox" fmlaLink="$L$49" lockText="1" noThreeD="1"/>
</file>

<file path=xl/ctrlProps/ctrlProp62.xml><?xml version="1.0" encoding="utf-8"?>
<formControlPr xmlns="http://schemas.microsoft.com/office/spreadsheetml/2009/9/main" objectType="CheckBox" fmlaLink="$L$53" lockText="1" noThreeD="1"/>
</file>

<file path=xl/ctrlProps/ctrlProp63.xml><?xml version="1.0" encoding="utf-8"?>
<formControlPr xmlns="http://schemas.microsoft.com/office/spreadsheetml/2009/9/main" objectType="CheckBox" fmlaLink="$L$63" lockText="1" noThreeD="1"/>
</file>

<file path=xl/ctrlProps/ctrlProp64.xml><?xml version="1.0" encoding="utf-8"?>
<formControlPr xmlns="http://schemas.microsoft.com/office/spreadsheetml/2009/9/main" objectType="CheckBox" fmlaLink="$L$66" lockText="1" noThreeD="1"/>
</file>

<file path=xl/ctrlProps/ctrlProp65.xml><?xml version="1.0" encoding="utf-8"?>
<formControlPr xmlns="http://schemas.microsoft.com/office/spreadsheetml/2009/9/main" objectType="CheckBox" fmlaLink="$L$68"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fmlaLink="$R$18" lockText="1" noThreeD="1"/>
</file>

<file path=xl/ctrlProps/ctrlProp68.xml><?xml version="1.0" encoding="utf-8"?>
<formControlPr xmlns="http://schemas.microsoft.com/office/spreadsheetml/2009/9/main" objectType="CheckBox" checked="Checked" fmlaLink="$R$21"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2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L$73" lockText="1" noThreeD="1"/>
</file>

<file path=xl/ctrlProps/ctrlProp72.xml><?xml version="1.0" encoding="utf-8"?>
<formControlPr xmlns="http://schemas.microsoft.com/office/spreadsheetml/2009/9/main" objectType="CheckBox" fmlaLink="$L$76" lockText="1" noThreeD="1"/>
</file>

<file path=xl/ctrlProps/ctrlProp73.xml><?xml version="1.0" encoding="utf-8"?>
<formControlPr xmlns="http://schemas.microsoft.com/office/spreadsheetml/2009/9/main" objectType="CheckBox" fmlaLink="$L$79" lockText="1" noThreeD="1"/>
</file>

<file path=xl/ctrlProps/ctrlProp74.xml><?xml version="1.0" encoding="utf-8"?>
<formControlPr xmlns="http://schemas.microsoft.com/office/spreadsheetml/2009/9/main" objectType="CheckBox" fmlaLink="$L$81" lockText="1" noThreeD="1"/>
</file>

<file path=xl/ctrlProps/ctrlProp75.xml><?xml version="1.0" encoding="utf-8"?>
<formControlPr xmlns="http://schemas.microsoft.com/office/spreadsheetml/2009/9/main" objectType="CheckBox" fmlaLink="$L$86" lockText="1" noThreeD="1"/>
</file>

<file path=xl/ctrlProps/ctrlProp76.xml><?xml version="1.0" encoding="utf-8"?>
<formControlPr xmlns="http://schemas.microsoft.com/office/spreadsheetml/2009/9/main" objectType="CheckBox" fmlaLink="$L$90" lockText="1" noThreeD="1"/>
</file>

<file path=xl/ctrlProps/ctrlProp77.xml><?xml version="1.0" encoding="utf-8"?>
<formControlPr xmlns="http://schemas.microsoft.com/office/spreadsheetml/2009/9/main" objectType="CheckBox" fmlaLink="$L$92" lockText="1" noThreeD="1"/>
</file>

<file path=xl/ctrlProps/ctrlProp78.xml><?xml version="1.0" encoding="utf-8"?>
<formControlPr xmlns="http://schemas.microsoft.com/office/spreadsheetml/2009/9/main" objectType="CheckBox" fmlaLink="$L$95" lockText="1" noThreeD="1"/>
</file>

<file path=xl/ctrlProps/ctrlProp79.xml><?xml version="1.0" encoding="utf-8"?>
<formControlPr xmlns="http://schemas.microsoft.com/office/spreadsheetml/2009/9/main" objectType="CheckBox" fmlaLink="$L$98" lockText="1" noThreeD="1"/>
</file>

<file path=xl/ctrlProps/ctrlProp8.xml><?xml version="1.0" encoding="utf-8"?>
<formControlPr xmlns="http://schemas.microsoft.com/office/spreadsheetml/2009/9/main" objectType="CheckBox" fmlaLink="$R$28" lockText="1" noThreeD="1"/>
</file>

<file path=xl/ctrlProps/ctrlProp80.xml><?xml version="1.0" encoding="utf-8"?>
<formControlPr xmlns="http://schemas.microsoft.com/office/spreadsheetml/2009/9/main" objectType="CheckBox" fmlaLink="$L$105" lockText="1" noThreeD="1"/>
</file>

<file path=xl/ctrlProps/ctrlProp81.xml><?xml version="1.0" encoding="utf-8"?>
<formControlPr xmlns="http://schemas.microsoft.com/office/spreadsheetml/2009/9/main" objectType="CheckBox" fmlaLink="$L$110" lockText="1" noThreeD="1"/>
</file>

<file path=xl/ctrlProps/ctrlProp82.xml><?xml version="1.0" encoding="utf-8"?>
<formControlPr xmlns="http://schemas.microsoft.com/office/spreadsheetml/2009/9/main" objectType="CheckBox" fmlaLink="$L$112" lockText="1" noThreeD="1"/>
</file>

<file path=xl/ctrlProps/ctrlProp83.xml><?xml version="1.0" encoding="utf-8"?>
<formControlPr xmlns="http://schemas.microsoft.com/office/spreadsheetml/2009/9/main" objectType="CheckBox" fmlaLink="$L$115" lockText="1" noThreeD="1"/>
</file>

<file path=xl/ctrlProps/ctrlProp84.xml><?xml version="1.0" encoding="utf-8"?>
<formControlPr xmlns="http://schemas.microsoft.com/office/spreadsheetml/2009/9/main" objectType="CheckBox" fmlaLink="$L$120" lockText="1" noThreeD="1"/>
</file>

<file path=xl/ctrlProps/ctrlProp85.xml><?xml version="1.0" encoding="utf-8"?>
<formControlPr xmlns="http://schemas.microsoft.com/office/spreadsheetml/2009/9/main" objectType="CheckBox" fmlaLink="$L$122" lockText="1" noThreeD="1"/>
</file>

<file path=xl/ctrlProps/ctrlProp86.xml><?xml version="1.0" encoding="utf-8"?>
<formControlPr xmlns="http://schemas.microsoft.com/office/spreadsheetml/2009/9/main" objectType="CheckBox" fmlaLink="$L$126" lockText="1" noThreeD="1"/>
</file>

<file path=xl/ctrlProps/ctrlProp87.xml><?xml version="1.0" encoding="utf-8"?>
<formControlPr xmlns="http://schemas.microsoft.com/office/spreadsheetml/2009/9/main" objectType="CheckBox" fmlaLink="$L$132" lockText="1" noThreeD="1"/>
</file>

<file path=xl/ctrlProps/ctrlProp88.xml><?xml version="1.0" encoding="utf-8"?>
<formControlPr xmlns="http://schemas.microsoft.com/office/spreadsheetml/2009/9/main" objectType="CheckBox" fmlaLink="$L$134" lockText="1" noThreeD="1"/>
</file>

<file path=xl/ctrlProps/ctrlProp89.xml><?xml version="1.0" encoding="utf-8"?>
<formControlPr xmlns="http://schemas.microsoft.com/office/spreadsheetml/2009/9/main" objectType="CheckBox" fmlaLink="$L$137" lockText="1" noThreeD="1"/>
</file>

<file path=xl/ctrlProps/ctrlProp9.xml><?xml version="1.0" encoding="utf-8"?>
<formControlPr xmlns="http://schemas.microsoft.com/office/spreadsheetml/2009/9/main" objectType="CheckBox" fmlaLink="$L$30" lockText="1" noThreeD="1"/>
</file>

<file path=xl/ctrlProps/ctrlProp90.xml><?xml version="1.0" encoding="utf-8"?>
<formControlPr xmlns="http://schemas.microsoft.com/office/spreadsheetml/2009/9/main" objectType="CheckBox" fmlaLink="$L$143" lockText="1" noThreeD="1"/>
</file>

<file path=xl/ctrlProps/ctrlProp91.xml><?xml version="1.0" encoding="utf-8"?>
<formControlPr xmlns="http://schemas.microsoft.com/office/spreadsheetml/2009/9/main" objectType="CheckBox" fmlaLink="$R$149" lockText="1" noThreeD="1"/>
</file>

<file path=xl/ctrlProps/ctrlProp92.xml><?xml version="1.0" encoding="utf-8"?>
<formControlPr xmlns="http://schemas.microsoft.com/office/spreadsheetml/2009/9/main" objectType="CheckBox" fmlaLink="$L$160" lockText="1" noThreeD="1"/>
</file>

<file path=xl/ctrlProps/ctrlProp93.xml><?xml version="1.0" encoding="utf-8"?>
<formControlPr xmlns="http://schemas.microsoft.com/office/spreadsheetml/2009/9/main" objectType="CheckBox" fmlaLink="$L$163" lockText="1" noThreeD="1"/>
</file>

<file path=xl/ctrlProps/ctrlProp94.xml><?xml version="1.0" encoding="utf-8"?>
<formControlPr xmlns="http://schemas.microsoft.com/office/spreadsheetml/2009/9/main" objectType="CheckBox" fmlaLink="$R$160" lockText="1" noThreeD="1"/>
</file>

<file path=xl/ctrlProps/ctrlProp95.xml><?xml version="1.0" encoding="utf-8"?>
<formControlPr xmlns="http://schemas.microsoft.com/office/spreadsheetml/2009/9/main" objectType="CheckBox" fmlaLink="$L$168" lockText="1" noThreeD="1"/>
</file>

<file path=xl/ctrlProps/ctrlProp96.xml><?xml version="1.0" encoding="utf-8"?>
<formControlPr xmlns="http://schemas.microsoft.com/office/spreadsheetml/2009/9/main" objectType="CheckBox" fmlaLink="$L$171" lockText="1" noThreeD="1"/>
</file>

<file path=xl/ctrlProps/ctrlProp97.xml><?xml version="1.0" encoding="utf-8"?>
<formControlPr xmlns="http://schemas.microsoft.com/office/spreadsheetml/2009/9/main" objectType="CheckBox" fmlaLink="$R$168" lockText="1" noThreeD="1"/>
</file>

<file path=xl/ctrlProps/ctrlProp98.xml><?xml version="1.0" encoding="utf-8"?>
<formControlPr xmlns="http://schemas.microsoft.com/office/spreadsheetml/2009/9/main" objectType="CheckBox" fmlaLink="$R$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xdr:row>
          <xdr:rowOff>342900</xdr:rowOff>
        </xdr:from>
        <xdr:to>
          <xdr:col>3</xdr:col>
          <xdr:colOff>106680</xdr:colOff>
          <xdr:row>3</xdr:row>
          <xdr:rowOff>22860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A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175260</xdr:rowOff>
        </xdr:from>
        <xdr:to>
          <xdr:col>3</xdr:col>
          <xdr:colOff>83820</xdr:colOff>
          <xdr:row>13</xdr:row>
          <xdr:rowOff>30480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A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121920</xdr:rowOff>
        </xdr:from>
        <xdr:to>
          <xdr:col>3</xdr:col>
          <xdr:colOff>83820</xdr:colOff>
          <xdr:row>19</xdr:row>
          <xdr:rowOff>45720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A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21</xdr:row>
          <xdr:rowOff>0</xdr:rowOff>
        </xdr:from>
        <xdr:to>
          <xdr:col>3</xdr:col>
          <xdr:colOff>175260</xdr:colOff>
          <xdr:row>22</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A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xdr:row>
          <xdr:rowOff>137160</xdr:rowOff>
        </xdr:from>
        <xdr:to>
          <xdr:col>3</xdr:col>
          <xdr:colOff>114300</xdr:colOff>
          <xdr:row>8</xdr:row>
          <xdr:rowOff>38100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A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xdr:row>
          <xdr:rowOff>7620</xdr:rowOff>
        </xdr:from>
        <xdr:to>
          <xdr:col>13</xdr:col>
          <xdr:colOff>449580</xdr:colOff>
          <xdr:row>3</xdr:row>
          <xdr:rowOff>30480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A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xdr:row>
          <xdr:rowOff>137160</xdr:rowOff>
        </xdr:from>
        <xdr:to>
          <xdr:col>3</xdr:col>
          <xdr:colOff>114300</xdr:colOff>
          <xdr:row>28</xdr:row>
          <xdr:rowOff>30480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A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20</xdr:row>
          <xdr:rowOff>182880</xdr:rowOff>
        </xdr:from>
        <xdr:to>
          <xdr:col>13</xdr:col>
          <xdr:colOff>464820</xdr:colOff>
          <xdr:row>22</xdr:row>
          <xdr:rowOff>7620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A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28</xdr:row>
          <xdr:rowOff>160020</xdr:rowOff>
        </xdr:from>
        <xdr:to>
          <xdr:col>3</xdr:col>
          <xdr:colOff>121920</xdr:colOff>
          <xdr:row>30</xdr:row>
          <xdr:rowOff>30480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A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23</xdr:row>
          <xdr:rowOff>60960</xdr:rowOff>
        </xdr:from>
        <xdr:to>
          <xdr:col>13</xdr:col>
          <xdr:colOff>464820</xdr:colOff>
          <xdr:row>24</xdr:row>
          <xdr:rowOff>182880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A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161</xdr:row>
          <xdr:rowOff>312420</xdr:rowOff>
        </xdr:from>
        <xdr:to>
          <xdr:col>3</xdr:col>
          <xdr:colOff>121920</xdr:colOff>
          <xdr:row>163</xdr:row>
          <xdr:rowOff>30480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A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164</xdr:row>
          <xdr:rowOff>144780</xdr:rowOff>
        </xdr:from>
        <xdr:to>
          <xdr:col>3</xdr:col>
          <xdr:colOff>144780</xdr:colOff>
          <xdr:row>166</xdr:row>
          <xdr:rowOff>45720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A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165</xdr:row>
          <xdr:rowOff>144780</xdr:rowOff>
        </xdr:from>
        <xdr:to>
          <xdr:col>3</xdr:col>
          <xdr:colOff>403860</xdr:colOff>
          <xdr:row>167</xdr:row>
          <xdr:rowOff>38100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A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167</xdr:row>
          <xdr:rowOff>137160</xdr:rowOff>
        </xdr:from>
        <xdr:to>
          <xdr:col>3</xdr:col>
          <xdr:colOff>411480</xdr:colOff>
          <xdr:row>169</xdr:row>
          <xdr:rowOff>30480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A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34</xdr:row>
          <xdr:rowOff>137160</xdr:rowOff>
        </xdr:from>
        <xdr:to>
          <xdr:col>3</xdr:col>
          <xdr:colOff>190500</xdr:colOff>
          <xdr:row>36</xdr:row>
          <xdr:rowOff>22860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A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45720</xdr:rowOff>
        </xdr:from>
        <xdr:to>
          <xdr:col>3</xdr:col>
          <xdr:colOff>198120</xdr:colOff>
          <xdr:row>39</xdr:row>
          <xdr:rowOff>22860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A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45</xdr:row>
          <xdr:rowOff>60960</xdr:rowOff>
        </xdr:from>
        <xdr:to>
          <xdr:col>3</xdr:col>
          <xdr:colOff>213360</xdr:colOff>
          <xdr:row>47</xdr:row>
          <xdr:rowOff>30480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A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144780</xdr:rowOff>
        </xdr:from>
        <xdr:to>
          <xdr:col>3</xdr:col>
          <xdr:colOff>198120</xdr:colOff>
          <xdr:row>55</xdr:row>
          <xdr:rowOff>30480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A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66</xdr:row>
          <xdr:rowOff>0</xdr:rowOff>
        </xdr:from>
        <xdr:to>
          <xdr:col>3</xdr:col>
          <xdr:colOff>228600</xdr:colOff>
          <xdr:row>67</xdr:row>
          <xdr:rowOff>22860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A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69</xdr:row>
          <xdr:rowOff>144780</xdr:rowOff>
        </xdr:from>
        <xdr:to>
          <xdr:col>3</xdr:col>
          <xdr:colOff>251460</xdr:colOff>
          <xdr:row>71</xdr:row>
          <xdr:rowOff>30480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A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79</xdr:row>
          <xdr:rowOff>175260</xdr:rowOff>
        </xdr:from>
        <xdr:to>
          <xdr:col>3</xdr:col>
          <xdr:colOff>228600</xdr:colOff>
          <xdr:row>81</xdr:row>
          <xdr:rowOff>30480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A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82</xdr:row>
          <xdr:rowOff>68580</xdr:rowOff>
        </xdr:from>
        <xdr:to>
          <xdr:col>3</xdr:col>
          <xdr:colOff>251460</xdr:colOff>
          <xdr:row>84</xdr:row>
          <xdr:rowOff>38100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A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34</xdr:row>
          <xdr:rowOff>152400</xdr:rowOff>
        </xdr:from>
        <xdr:to>
          <xdr:col>13</xdr:col>
          <xdr:colOff>464820</xdr:colOff>
          <xdr:row>36</xdr:row>
          <xdr:rowOff>22860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A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37</xdr:row>
          <xdr:rowOff>60960</xdr:rowOff>
        </xdr:from>
        <xdr:to>
          <xdr:col>13</xdr:col>
          <xdr:colOff>464820</xdr:colOff>
          <xdr:row>39</xdr:row>
          <xdr:rowOff>7620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A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85</xdr:row>
          <xdr:rowOff>160020</xdr:rowOff>
        </xdr:from>
        <xdr:to>
          <xdr:col>3</xdr:col>
          <xdr:colOff>236220</xdr:colOff>
          <xdr:row>87</xdr:row>
          <xdr:rowOff>22860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A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88</xdr:row>
          <xdr:rowOff>121920</xdr:rowOff>
        </xdr:from>
        <xdr:to>
          <xdr:col>3</xdr:col>
          <xdr:colOff>251460</xdr:colOff>
          <xdr:row>90</xdr:row>
          <xdr:rowOff>45720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A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91</xdr:row>
          <xdr:rowOff>160020</xdr:rowOff>
        </xdr:from>
        <xdr:to>
          <xdr:col>3</xdr:col>
          <xdr:colOff>236220</xdr:colOff>
          <xdr:row>93</xdr:row>
          <xdr:rowOff>22860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A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93</xdr:row>
          <xdr:rowOff>137160</xdr:rowOff>
        </xdr:from>
        <xdr:to>
          <xdr:col>3</xdr:col>
          <xdr:colOff>236220</xdr:colOff>
          <xdr:row>95</xdr:row>
          <xdr:rowOff>45720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A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96</xdr:row>
          <xdr:rowOff>137160</xdr:rowOff>
        </xdr:from>
        <xdr:to>
          <xdr:col>3</xdr:col>
          <xdr:colOff>236220</xdr:colOff>
          <xdr:row>98</xdr:row>
          <xdr:rowOff>45720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A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98</xdr:row>
          <xdr:rowOff>152400</xdr:rowOff>
        </xdr:from>
        <xdr:to>
          <xdr:col>3</xdr:col>
          <xdr:colOff>228600</xdr:colOff>
          <xdr:row>100</xdr:row>
          <xdr:rowOff>45720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A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102</xdr:row>
          <xdr:rowOff>182880</xdr:rowOff>
        </xdr:from>
        <xdr:to>
          <xdr:col>3</xdr:col>
          <xdr:colOff>220980</xdr:colOff>
          <xdr:row>104</xdr:row>
          <xdr:rowOff>38100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A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104</xdr:row>
          <xdr:rowOff>137160</xdr:rowOff>
        </xdr:from>
        <xdr:to>
          <xdr:col>3</xdr:col>
          <xdr:colOff>213360</xdr:colOff>
          <xdr:row>106</xdr:row>
          <xdr:rowOff>45720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A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107</xdr:row>
          <xdr:rowOff>137160</xdr:rowOff>
        </xdr:from>
        <xdr:to>
          <xdr:col>3</xdr:col>
          <xdr:colOff>220980</xdr:colOff>
          <xdr:row>109</xdr:row>
          <xdr:rowOff>45720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A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110</xdr:row>
          <xdr:rowOff>144780</xdr:rowOff>
        </xdr:from>
        <xdr:to>
          <xdr:col>3</xdr:col>
          <xdr:colOff>220980</xdr:colOff>
          <xdr:row>112</xdr:row>
          <xdr:rowOff>45720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A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117</xdr:row>
          <xdr:rowOff>137160</xdr:rowOff>
        </xdr:from>
        <xdr:to>
          <xdr:col>3</xdr:col>
          <xdr:colOff>236220</xdr:colOff>
          <xdr:row>119</xdr:row>
          <xdr:rowOff>45720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A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122</xdr:row>
          <xdr:rowOff>175260</xdr:rowOff>
        </xdr:from>
        <xdr:to>
          <xdr:col>3</xdr:col>
          <xdr:colOff>220980</xdr:colOff>
          <xdr:row>124</xdr:row>
          <xdr:rowOff>30480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A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124</xdr:row>
          <xdr:rowOff>144780</xdr:rowOff>
        </xdr:from>
        <xdr:to>
          <xdr:col>3</xdr:col>
          <xdr:colOff>220980</xdr:colOff>
          <xdr:row>126</xdr:row>
          <xdr:rowOff>45720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A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127</xdr:row>
          <xdr:rowOff>144780</xdr:rowOff>
        </xdr:from>
        <xdr:to>
          <xdr:col>3</xdr:col>
          <xdr:colOff>213360</xdr:colOff>
          <xdr:row>129</xdr:row>
          <xdr:rowOff>45720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A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132</xdr:row>
          <xdr:rowOff>121920</xdr:rowOff>
        </xdr:from>
        <xdr:to>
          <xdr:col>3</xdr:col>
          <xdr:colOff>220980</xdr:colOff>
          <xdr:row>134</xdr:row>
          <xdr:rowOff>45720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A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134</xdr:row>
          <xdr:rowOff>137160</xdr:rowOff>
        </xdr:from>
        <xdr:to>
          <xdr:col>3</xdr:col>
          <xdr:colOff>220980</xdr:colOff>
          <xdr:row>136</xdr:row>
          <xdr:rowOff>45720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A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138</xdr:row>
          <xdr:rowOff>144780</xdr:rowOff>
        </xdr:from>
        <xdr:to>
          <xdr:col>3</xdr:col>
          <xdr:colOff>236220</xdr:colOff>
          <xdr:row>140</xdr:row>
          <xdr:rowOff>45720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A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161</xdr:row>
          <xdr:rowOff>327660</xdr:rowOff>
        </xdr:from>
        <xdr:to>
          <xdr:col>13</xdr:col>
          <xdr:colOff>419100</xdr:colOff>
          <xdr:row>163</xdr:row>
          <xdr:rowOff>30480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A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172</xdr:row>
          <xdr:rowOff>312420</xdr:rowOff>
        </xdr:from>
        <xdr:to>
          <xdr:col>3</xdr:col>
          <xdr:colOff>121920</xdr:colOff>
          <xdr:row>174</xdr:row>
          <xdr:rowOff>30480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A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175</xdr:row>
          <xdr:rowOff>144780</xdr:rowOff>
        </xdr:from>
        <xdr:to>
          <xdr:col>3</xdr:col>
          <xdr:colOff>144780</xdr:colOff>
          <xdr:row>177</xdr:row>
          <xdr:rowOff>45720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A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172</xdr:row>
          <xdr:rowOff>327660</xdr:rowOff>
        </xdr:from>
        <xdr:to>
          <xdr:col>13</xdr:col>
          <xdr:colOff>419100</xdr:colOff>
          <xdr:row>174</xdr:row>
          <xdr:rowOff>30480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A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180</xdr:row>
          <xdr:rowOff>312420</xdr:rowOff>
        </xdr:from>
        <xdr:to>
          <xdr:col>3</xdr:col>
          <xdr:colOff>121920</xdr:colOff>
          <xdr:row>182</xdr:row>
          <xdr:rowOff>30480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A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183</xdr:row>
          <xdr:rowOff>144780</xdr:rowOff>
        </xdr:from>
        <xdr:to>
          <xdr:col>3</xdr:col>
          <xdr:colOff>144780</xdr:colOff>
          <xdr:row>185</xdr:row>
          <xdr:rowOff>45720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A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180</xdr:row>
          <xdr:rowOff>327660</xdr:rowOff>
        </xdr:from>
        <xdr:to>
          <xdr:col>13</xdr:col>
          <xdr:colOff>419100</xdr:colOff>
          <xdr:row>182</xdr:row>
          <xdr:rowOff>30480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A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xdr:row>
          <xdr:rowOff>342900</xdr:rowOff>
        </xdr:from>
        <xdr:to>
          <xdr:col>3</xdr:col>
          <xdr:colOff>106680</xdr:colOff>
          <xdr:row>3</xdr:row>
          <xdr:rowOff>22860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B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xdr:row>
          <xdr:rowOff>137160</xdr:rowOff>
        </xdr:from>
        <xdr:to>
          <xdr:col>3</xdr:col>
          <xdr:colOff>114300</xdr:colOff>
          <xdr:row>12</xdr:row>
          <xdr:rowOff>38100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B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xdr:row>
          <xdr:rowOff>7620</xdr:rowOff>
        </xdr:from>
        <xdr:to>
          <xdr:col>13</xdr:col>
          <xdr:colOff>449580</xdr:colOff>
          <xdr:row>3</xdr:row>
          <xdr:rowOff>30480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B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147</xdr:row>
          <xdr:rowOff>312420</xdr:rowOff>
        </xdr:from>
        <xdr:to>
          <xdr:col>3</xdr:col>
          <xdr:colOff>121920</xdr:colOff>
          <xdr:row>149</xdr:row>
          <xdr:rowOff>30480</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B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150</xdr:row>
          <xdr:rowOff>144780</xdr:rowOff>
        </xdr:from>
        <xdr:to>
          <xdr:col>3</xdr:col>
          <xdr:colOff>144780</xdr:colOff>
          <xdr:row>152</xdr:row>
          <xdr:rowOff>45720</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B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151</xdr:row>
          <xdr:rowOff>144780</xdr:rowOff>
        </xdr:from>
        <xdr:to>
          <xdr:col>3</xdr:col>
          <xdr:colOff>403860</xdr:colOff>
          <xdr:row>153</xdr:row>
          <xdr:rowOff>38100</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B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153</xdr:row>
          <xdr:rowOff>137160</xdr:rowOff>
        </xdr:from>
        <xdr:to>
          <xdr:col>3</xdr:col>
          <xdr:colOff>411480</xdr:colOff>
          <xdr:row>155</xdr:row>
          <xdr:rowOff>30480</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B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16</xdr:row>
          <xdr:rowOff>137160</xdr:rowOff>
        </xdr:from>
        <xdr:to>
          <xdr:col>3</xdr:col>
          <xdr:colOff>190500</xdr:colOff>
          <xdr:row>18</xdr:row>
          <xdr:rowOff>22860</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B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45720</xdr:rowOff>
        </xdr:from>
        <xdr:to>
          <xdr:col>3</xdr:col>
          <xdr:colOff>198120</xdr:colOff>
          <xdr:row>21</xdr:row>
          <xdr:rowOff>22860</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B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27</xdr:row>
          <xdr:rowOff>60960</xdr:rowOff>
        </xdr:from>
        <xdr:to>
          <xdr:col>3</xdr:col>
          <xdr:colOff>213360</xdr:colOff>
          <xdr:row>29</xdr:row>
          <xdr:rowOff>30480</xdr:rowOff>
        </xdr:to>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B00-00002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144780</xdr:rowOff>
        </xdr:from>
        <xdr:to>
          <xdr:col>3</xdr:col>
          <xdr:colOff>198120</xdr:colOff>
          <xdr:row>37</xdr:row>
          <xdr:rowOff>30480</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B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45720</xdr:rowOff>
        </xdr:from>
        <xdr:to>
          <xdr:col>3</xdr:col>
          <xdr:colOff>198120</xdr:colOff>
          <xdr:row>40</xdr:row>
          <xdr:rowOff>22860</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B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48</xdr:row>
          <xdr:rowOff>0</xdr:rowOff>
        </xdr:from>
        <xdr:to>
          <xdr:col>3</xdr:col>
          <xdr:colOff>228600</xdr:colOff>
          <xdr:row>49</xdr:row>
          <xdr:rowOff>22860</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B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51</xdr:row>
          <xdr:rowOff>144780</xdr:rowOff>
        </xdr:from>
        <xdr:to>
          <xdr:col>3</xdr:col>
          <xdr:colOff>251460</xdr:colOff>
          <xdr:row>53</xdr:row>
          <xdr:rowOff>45720</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B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61</xdr:row>
          <xdr:rowOff>175260</xdr:rowOff>
        </xdr:from>
        <xdr:to>
          <xdr:col>3</xdr:col>
          <xdr:colOff>228600</xdr:colOff>
          <xdr:row>63</xdr:row>
          <xdr:rowOff>30480</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B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64</xdr:row>
          <xdr:rowOff>121920</xdr:rowOff>
        </xdr:from>
        <xdr:to>
          <xdr:col>3</xdr:col>
          <xdr:colOff>220980</xdr:colOff>
          <xdr:row>66</xdr:row>
          <xdr:rowOff>45720</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B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66</xdr:row>
          <xdr:rowOff>144780</xdr:rowOff>
        </xdr:from>
        <xdr:to>
          <xdr:col>3</xdr:col>
          <xdr:colOff>236220</xdr:colOff>
          <xdr:row>68</xdr:row>
          <xdr:rowOff>45720</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B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68</xdr:row>
          <xdr:rowOff>152400</xdr:rowOff>
        </xdr:from>
        <xdr:to>
          <xdr:col>3</xdr:col>
          <xdr:colOff>495300</xdr:colOff>
          <xdr:row>70</xdr:row>
          <xdr:rowOff>7620</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B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16</xdr:row>
          <xdr:rowOff>152400</xdr:rowOff>
        </xdr:from>
        <xdr:to>
          <xdr:col>13</xdr:col>
          <xdr:colOff>464820</xdr:colOff>
          <xdr:row>18</xdr:row>
          <xdr:rowOff>22860</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B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19</xdr:row>
          <xdr:rowOff>60960</xdr:rowOff>
        </xdr:from>
        <xdr:to>
          <xdr:col>13</xdr:col>
          <xdr:colOff>464820</xdr:colOff>
          <xdr:row>21</xdr:row>
          <xdr:rowOff>7620</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B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43</xdr:row>
          <xdr:rowOff>114300</xdr:rowOff>
        </xdr:from>
        <xdr:to>
          <xdr:col>3</xdr:col>
          <xdr:colOff>495300</xdr:colOff>
          <xdr:row>45</xdr:row>
          <xdr:rowOff>45720</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B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44</xdr:row>
          <xdr:rowOff>137160</xdr:rowOff>
        </xdr:from>
        <xdr:to>
          <xdr:col>3</xdr:col>
          <xdr:colOff>495300</xdr:colOff>
          <xdr:row>46</xdr:row>
          <xdr:rowOff>22860</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B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71</xdr:row>
          <xdr:rowOff>160020</xdr:rowOff>
        </xdr:from>
        <xdr:to>
          <xdr:col>3</xdr:col>
          <xdr:colOff>236220</xdr:colOff>
          <xdr:row>73</xdr:row>
          <xdr:rowOff>22860</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B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74</xdr:row>
          <xdr:rowOff>121920</xdr:rowOff>
        </xdr:from>
        <xdr:to>
          <xdr:col>3</xdr:col>
          <xdr:colOff>251460</xdr:colOff>
          <xdr:row>76</xdr:row>
          <xdr:rowOff>45720</xdr:rowOff>
        </xdr:to>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0B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77</xdr:row>
          <xdr:rowOff>160020</xdr:rowOff>
        </xdr:from>
        <xdr:to>
          <xdr:col>3</xdr:col>
          <xdr:colOff>236220</xdr:colOff>
          <xdr:row>79</xdr:row>
          <xdr:rowOff>22860</xdr:rowOff>
        </xdr:to>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0B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79</xdr:row>
          <xdr:rowOff>137160</xdr:rowOff>
        </xdr:from>
        <xdr:to>
          <xdr:col>3</xdr:col>
          <xdr:colOff>236220</xdr:colOff>
          <xdr:row>81</xdr:row>
          <xdr:rowOff>45720</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B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84</xdr:row>
          <xdr:rowOff>152400</xdr:rowOff>
        </xdr:from>
        <xdr:to>
          <xdr:col>3</xdr:col>
          <xdr:colOff>228600</xdr:colOff>
          <xdr:row>86</xdr:row>
          <xdr:rowOff>45720</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B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88</xdr:row>
          <xdr:rowOff>182880</xdr:rowOff>
        </xdr:from>
        <xdr:to>
          <xdr:col>3</xdr:col>
          <xdr:colOff>220980</xdr:colOff>
          <xdr:row>90</xdr:row>
          <xdr:rowOff>38100</xdr:rowOff>
        </xdr:to>
        <xdr:sp macro="" textlink="">
          <xdr:nvSpPr>
            <xdr:cNvPr id="20547" name="Check Box 67" hidden="1">
              <a:extLst>
                <a:ext uri="{63B3BB69-23CF-44E3-9099-C40C66FF867C}">
                  <a14:compatExt spid="_x0000_s20547"/>
                </a:ext>
                <a:ext uri="{FF2B5EF4-FFF2-40B4-BE49-F238E27FC236}">
                  <a16:creationId xmlns:a16="http://schemas.microsoft.com/office/drawing/2014/main" id="{00000000-0008-0000-0B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90</xdr:row>
          <xdr:rowOff>137160</xdr:rowOff>
        </xdr:from>
        <xdr:to>
          <xdr:col>3</xdr:col>
          <xdr:colOff>213360</xdr:colOff>
          <xdr:row>92</xdr:row>
          <xdr:rowOff>45720</xdr:rowOff>
        </xdr:to>
        <xdr:sp macro="" textlink="">
          <xdr:nvSpPr>
            <xdr:cNvPr id="20548" name="Check Box 68" hidden="1">
              <a:extLst>
                <a:ext uri="{63B3BB69-23CF-44E3-9099-C40C66FF867C}">
                  <a14:compatExt spid="_x0000_s20548"/>
                </a:ext>
                <a:ext uri="{FF2B5EF4-FFF2-40B4-BE49-F238E27FC236}">
                  <a16:creationId xmlns:a16="http://schemas.microsoft.com/office/drawing/2014/main" id="{00000000-0008-0000-0B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137160</xdr:rowOff>
        </xdr:from>
        <xdr:to>
          <xdr:col>3</xdr:col>
          <xdr:colOff>220980</xdr:colOff>
          <xdr:row>95</xdr:row>
          <xdr:rowOff>45720</xdr:rowOff>
        </xdr:to>
        <xdr:sp macro="" textlink="">
          <xdr:nvSpPr>
            <xdr:cNvPr id="20549" name="Check Box 69" hidden="1">
              <a:extLst>
                <a:ext uri="{63B3BB69-23CF-44E3-9099-C40C66FF867C}">
                  <a14:compatExt spid="_x0000_s20549"/>
                </a:ext>
                <a:ext uri="{FF2B5EF4-FFF2-40B4-BE49-F238E27FC236}">
                  <a16:creationId xmlns:a16="http://schemas.microsoft.com/office/drawing/2014/main" id="{00000000-0008-0000-0B00-00004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96</xdr:row>
          <xdr:rowOff>144780</xdr:rowOff>
        </xdr:from>
        <xdr:to>
          <xdr:col>3</xdr:col>
          <xdr:colOff>220980</xdr:colOff>
          <xdr:row>98</xdr:row>
          <xdr:rowOff>45720</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B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103</xdr:row>
          <xdr:rowOff>137160</xdr:rowOff>
        </xdr:from>
        <xdr:to>
          <xdr:col>3</xdr:col>
          <xdr:colOff>236220</xdr:colOff>
          <xdr:row>105</xdr:row>
          <xdr:rowOff>45720</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B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108</xdr:row>
          <xdr:rowOff>175260</xdr:rowOff>
        </xdr:from>
        <xdr:to>
          <xdr:col>3</xdr:col>
          <xdr:colOff>220980</xdr:colOff>
          <xdr:row>110</xdr:row>
          <xdr:rowOff>30480</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B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110</xdr:row>
          <xdr:rowOff>144780</xdr:rowOff>
        </xdr:from>
        <xdr:to>
          <xdr:col>3</xdr:col>
          <xdr:colOff>220980</xdr:colOff>
          <xdr:row>112</xdr:row>
          <xdr:rowOff>45720</xdr:rowOff>
        </xdr:to>
        <xdr:sp macro="" textlink="">
          <xdr:nvSpPr>
            <xdr:cNvPr id="20554" name="Check Box 74" hidden="1">
              <a:extLst>
                <a:ext uri="{63B3BB69-23CF-44E3-9099-C40C66FF867C}">
                  <a14:compatExt spid="_x0000_s20554"/>
                </a:ext>
                <a:ext uri="{FF2B5EF4-FFF2-40B4-BE49-F238E27FC236}">
                  <a16:creationId xmlns:a16="http://schemas.microsoft.com/office/drawing/2014/main" id="{00000000-0008-0000-0B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113</xdr:row>
          <xdr:rowOff>144780</xdr:rowOff>
        </xdr:from>
        <xdr:to>
          <xdr:col>3</xdr:col>
          <xdr:colOff>213360</xdr:colOff>
          <xdr:row>115</xdr:row>
          <xdr:rowOff>45720</xdr:rowOff>
        </xdr:to>
        <xdr:sp macro="" textlink="">
          <xdr:nvSpPr>
            <xdr:cNvPr id="20555" name="Check Box 75" hidden="1">
              <a:extLst>
                <a:ext uri="{63B3BB69-23CF-44E3-9099-C40C66FF867C}">
                  <a14:compatExt spid="_x0000_s20555"/>
                </a:ext>
                <a:ext uri="{FF2B5EF4-FFF2-40B4-BE49-F238E27FC236}">
                  <a16:creationId xmlns:a16="http://schemas.microsoft.com/office/drawing/2014/main" id="{00000000-0008-0000-0B00-00004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118</xdr:row>
          <xdr:rowOff>121920</xdr:rowOff>
        </xdr:from>
        <xdr:to>
          <xdr:col>3</xdr:col>
          <xdr:colOff>220980</xdr:colOff>
          <xdr:row>120</xdr:row>
          <xdr:rowOff>45720</xdr:rowOff>
        </xdr:to>
        <xdr:sp macro="" textlink="">
          <xdr:nvSpPr>
            <xdr:cNvPr id="20556" name="Check Box 76" hidden="1">
              <a:extLst>
                <a:ext uri="{63B3BB69-23CF-44E3-9099-C40C66FF867C}">
                  <a14:compatExt spid="_x0000_s20556"/>
                </a:ext>
                <a:ext uri="{FF2B5EF4-FFF2-40B4-BE49-F238E27FC236}">
                  <a16:creationId xmlns:a16="http://schemas.microsoft.com/office/drawing/2014/main" id="{00000000-0008-0000-0B00-00004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120</xdr:row>
          <xdr:rowOff>137160</xdr:rowOff>
        </xdr:from>
        <xdr:to>
          <xdr:col>3</xdr:col>
          <xdr:colOff>220980</xdr:colOff>
          <xdr:row>122</xdr:row>
          <xdr:rowOff>45720</xdr:rowOff>
        </xdr:to>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B00-00004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124</xdr:row>
          <xdr:rowOff>144780</xdr:rowOff>
        </xdr:from>
        <xdr:to>
          <xdr:col>3</xdr:col>
          <xdr:colOff>236220</xdr:colOff>
          <xdr:row>126</xdr:row>
          <xdr:rowOff>45720</xdr:rowOff>
        </xdr:to>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B00-00004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130</xdr:row>
          <xdr:rowOff>152400</xdr:rowOff>
        </xdr:from>
        <xdr:to>
          <xdr:col>3</xdr:col>
          <xdr:colOff>228600</xdr:colOff>
          <xdr:row>132</xdr:row>
          <xdr:rowOff>7620</xdr:rowOff>
        </xdr:to>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B00-00005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133</xdr:row>
          <xdr:rowOff>0</xdr:rowOff>
        </xdr:from>
        <xdr:to>
          <xdr:col>3</xdr:col>
          <xdr:colOff>236220</xdr:colOff>
          <xdr:row>134</xdr:row>
          <xdr:rowOff>45720</xdr:rowOff>
        </xdr:to>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B00-00005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135</xdr:row>
          <xdr:rowOff>137160</xdr:rowOff>
        </xdr:from>
        <xdr:to>
          <xdr:col>3</xdr:col>
          <xdr:colOff>236220</xdr:colOff>
          <xdr:row>137</xdr:row>
          <xdr:rowOff>45720</xdr:rowOff>
        </xdr:to>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B00-00005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141</xdr:row>
          <xdr:rowOff>144780</xdr:rowOff>
        </xdr:from>
        <xdr:to>
          <xdr:col>3</xdr:col>
          <xdr:colOff>251460</xdr:colOff>
          <xdr:row>143</xdr:row>
          <xdr:rowOff>45720</xdr:rowOff>
        </xdr:to>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B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147</xdr:row>
          <xdr:rowOff>327660</xdr:rowOff>
        </xdr:from>
        <xdr:to>
          <xdr:col>13</xdr:col>
          <xdr:colOff>419100</xdr:colOff>
          <xdr:row>149</xdr:row>
          <xdr:rowOff>30480</xdr:rowOff>
        </xdr:to>
        <xdr:sp macro="" textlink="">
          <xdr:nvSpPr>
            <xdr:cNvPr id="20566" name="Check Box 86" hidden="1">
              <a:extLst>
                <a:ext uri="{63B3BB69-23CF-44E3-9099-C40C66FF867C}">
                  <a14:compatExt spid="_x0000_s20566"/>
                </a:ext>
                <a:ext uri="{FF2B5EF4-FFF2-40B4-BE49-F238E27FC236}">
                  <a16:creationId xmlns:a16="http://schemas.microsoft.com/office/drawing/2014/main" id="{00000000-0008-0000-0B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158</xdr:row>
          <xdr:rowOff>312420</xdr:rowOff>
        </xdr:from>
        <xdr:to>
          <xdr:col>3</xdr:col>
          <xdr:colOff>121920</xdr:colOff>
          <xdr:row>160</xdr:row>
          <xdr:rowOff>30480</xdr:rowOff>
        </xdr:to>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B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161</xdr:row>
          <xdr:rowOff>144780</xdr:rowOff>
        </xdr:from>
        <xdr:to>
          <xdr:col>3</xdr:col>
          <xdr:colOff>144780</xdr:colOff>
          <xdr:row>163</xdr:row>
          <xdr:rowOff>45720</xdr:rowOff>
        </xdr:to>
        <xdr:sp macro="" textlink="">
          <xdr:nvSpPr>
            <xdr:cNvPr id="20568" name="Check Box 88" hidden="1">
              <a:extLst>
                <a:ext uri="{63B3BB69-23CF-44E3-9099-C40C66FF867C}">
                  <a14:compatExt spid="_x0000_s20568"/>
                </a:ext>
                <a:ext uri="{FF2B5EF4-FFF2-40B4-BE49-F238E27FC236}">
                  <a16:creationId xmlns:a16="http://schemas.microsoft.com/office/drawing/2014/main" id="{00000000-0008-0000-0B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158</xdr:row>
          <xdr:rowOff>327660</xdr:rowOff>
        </xdr:from>
        <xdr:to>
          <xdr:col>13</xdr:col>
          <xdr:colOff>419100</xdr:colOff>
          <xdr:row>160</xdr:row>
          <xdr:rowOff>30480</xdr:rowOff>
        </xdr:to>
        <xdr:sp macro="" textlink="">
          <xdr:nvSpPr>
            <xdr:cNvPr id="20569" name="Check Box 89" hidden="1">
              <a:extLst>
                <a:ext uri="{63B3BB69-23CF-44E3-9099-C40C66FF867C}">
                  <a14:compatExt spid="_x0000_s20569"/>
                </a:ext>
                <a:ext uri="{FF2B5EF4-FFF2-40B4-BE49-F238E27FC236}">
                  <a16:creationId xmlns:a16="http://schemas.microsoft.com/office/drawing/2014/main" id="{00000000-0008-0000-0B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166</xdr:row>
          <xdr:rowOff>312420</xdr:rowOff>
        </xdr:from>
        <xdr:to>
          <xdr:col>3</xdr:col>
          <xdr:colOff>121920</xdr:colOff>
          <xdr:row>168</xdr:row>
          <xdr:rowOff>30480</xdr:rowOff>
        </xdr:to>
        <xdr:sp macro="" textlink="">
          <xdr:nvSpPr>
            <xdr:cNvPr id="20570" name="Check Box 90" hidden="1">
              <a:extLst>
                <a:ext uri="{63B3BB69-23CF-44E3-9099-C40C66FF867C}">
                  <a14:compatExt spid="_x0000_s20570"/>
                </a:ext>
                <a:ext uri="{FF2B5EF4-FFF2-40B4-BE49-F238E27FC236}">
                  <a16:creationId xmlns:a16="http://schemas.microsoft.com/office/drawing/2014/main" id="{00000000-0008-0000-0B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169</xdr:row>
          <xdr:rowOff>144780</xdr:rowOff>
        </xdr:from>
        <xdr:to>
          <xdr:col>3</xdr:col>
          <xdr:colOff>144780</xdr:colOff>
          <xdr:row>171</xdr:row>
          <xdr:rowOff>45720</xdr:rowOff>
        </xdr:to>
        <xdr:sp macro="" textlink="">
          <xdr:nvSpPr>
            <xdr:cNvPr id="20571" name="Check Box 91" hidden="1">
              <a:extLst>
                <a:ext uri="{63B3BB69-23CF-44E3-9099-C40C66FF867C}">
                  <a14:compatExt spid="_x0000_s20571"/>
                </a:ext>
                <a:ext uri="{FF2B5EF4-FFF2-40B4-BE49-F238E27FC236}">
                  <a16:creationId xmlns:a16="http://schemas.microsoft.com/office/drawing/2014/main" id="{00000000-0008-0000-0B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166</xdr:row>
          <xdr:rowOff>327660</xdr:rowOff>
        </xdr:from>
        <xdr:to>
          <xdr:col>13</xdr:col>
          <xdr:colOff>419100</xdr:colOff>
          <xdr:row>168</xdr:row>
          <xdr:rowOff>30480</xdr:rowOff>
        </xdr:to>
        <xdr:sp macro="" textlink="">
          <xdr:nvSpPr>
            <xdr:cNvPr id="20572" name="Check Box 92" hidden="1">
              <a:extLst>
                <a:ext uri="{63B3BB69-23CF-44E3-9099-C40C66FF867C}">
                  <a14:compatExt spid="_x0000_s20572"/>
                </a:ext>
                <a:ext uri="{FF2B5EF4-FFF2-40B4-BE49-F238E27FC236}">
                  <a16:creationId xmlns:a16="http://schemas.microsoft.com/office/drawing/2014/main" id="{00000000-0008-0000-0B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xdr:row>
          <xdr:rowOff>144780</xdr:rowOff>
        </xdr:from>
        <xdr:to>
          <xdr:col>13</xdr:col>
          <xdr:colOff>449580</xdr:colOff>
          <xdr:row>5</xdr:row>
          <xdr:rowOff>0</xdr:rowOff>
        </xdr:to>
        <xdr:sp macro="" textlink="">
          <xdr:nvSpPr>
            <xdr:cNvPr id="20573" name="Check Box 93" hidden="1">
              <a:extLst>
                <a:ext uri="{63B3BB69-23CF-44E3-9099-C40C66FF867C}">
                  <a14:compatExt spid="_x0000_s20573"/>
                </a:ext>
                <a:ext uri="{FF2B5EF4-FFF2-40B4-BE49-F238E27FC236}">
                  <a16:creationId xmlns:a16="http://schemas.microsoft.com/office/drawing/2014/main" id="{00000000-0008-0000-0B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1.bin"/><Relationship Id="rId6" Type="http://schemas.openxmlformats.org/officeDocument/2006/relationships/ctrlProp" Target="../ctrlProps/ctrlProp3.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47" Type="http://schemas.openxmlformats.org/officeDocument/2006/relationships/ctrlProp" Target="../ctrlProps/ctrlProp92.xml"/><Relationship Id="rId50" Type="http://schemas.openxmlformats.org/officeDocument/2006/relationships/ctrlProp" Target="../ctrlProps/ctrlProp95.xml"/><Relationship Id="rId7" Type="http://schemas.openxmlformats.org/officeDocument/2006/relationships/ctrlProp" Target="../ctrlProps/ctrlProp52.xml"/><Relationship Id="rId2" Type="http://schemas.openxmlformats.org/officeDocument/2006/relationships/drawing" Target="../drawings/drawing2.xml"/><Relationship Id="rId16" Type="http://schemas.openxmlformats.org/officeDocument/2006/relationships/ctrlProp" Target="../ctrlProps/ctrlProp61.xml"/><Relationship Id="rId29" Type="http://schemas.openxmlformats.org/officeDocument/2006/relationships/ctrlProp" Target="../ctrlProps/ctrlProp74.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3" Type="http://schemas.openxmlformats.org/officeDocument/2006/relationships/ctrlProp" Target="../ctrlProps/ctrlProp98.xml"/><Relationship Id="rId5" Type="http://schemas.openxmlformats.org/officeDocument/2006/relationships/ctrlProp" Target="../ctrlProps/ctrlProp50.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4" Type="http://schemas.openxmlformats.org/officeDocument/2006/relationships/ctrlProp" Target="../ctrlProps/ctrlProp89.xml"/><Relationship Id="rId52" Type="http://schemas.openxmlformats.org/officeDocument/2006/relationships/ctrlProp" Target="../ctrlProps/ctrlProp97.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48" Type="http://schemas.openxmlformats.org/officeDocument/2006/relationships/ctrlProp" Target="../ctrlProps/ctrlProp93.xml"/><Relationship Id="rId8" Type="http://schemas.openxmlformats.org/officeDocument/2006/relationships/ctrlProp" Target="../ctrlProps/ctrlProp53.xml"/><Relationship Id="rId51" Type="http://schemas.openxmlformats.org/officeDocument/2006/relationships/ctrlProp" Target="../ctrlProps/ctrlProp96.xml"/><Relationship Id="rId3" Type="http://schemas.openxmlformats.org/officeDocument/2006/relationships/vmlDrawing" Target="../drawings/vmlDrawing2.v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46" Type="http://schemas.openxmlformats.org/officeDocument/2006/relationships/ctrlProp" Target="../ctrlProps/ctrlProp91.xml"/><Relationship Id="rId20" Type="http://schemas.openxmlformats.org/officeDocument/2006/relationships/ctrlProp" Target="../ctrlProps/ctrlProp65.xml"/><Relationship Id="rId41" Type="http://schemas.openxmlformats.org/officeDocument/2006/relationships/ctrlProp" Target="../ctrlProps/ctrlProp86.xml"/><Relationship Id="rId1" Type="http://schemas.openxmlformats.org/officeDocument/2006/relationships/printerSettings" Target="../printerSettings/printerSettings12.bin"/><Relationship Id="rId6" Type="http://schemas.openxmlformats.org/officeDocument/2006/relationships/ctrlProp" Target="../ctrlProps/ctrlProp51.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49" Type="http://schemas.openxmlformats.org/officeDocument/2006/relationships/ctrlProp" Target="../ctrlProps/ctrlProp9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48"/>
  <sheetViews>
    <sheetView zoomScaleNormal="100" workbookViewId="0">
      <selection activeCell="D7" sqref="D7:E7"/>
    </sheetView>
  </sheetViews>
  <sheetFormatPr defaultColWidth="11.44140625" defaultRowHeight="13.5" customHeight="1"/>
  <cols>
    <col min="1" max="2" width="2.5546875" style="225" customWidth="1"/>
    <col min="3" max="3" width="30.6640625" style="225" customWidth="1"/>
    <col min="4" max="4" width="25.6640625" style="225" customWidth="1"/>
    <col min="5" max="5" width="25.88671875" style="225" customWidth="1"/>
    <col min="6" max="6" width="20.6640625" style="225" customWidth="1"/>
    <col min="7" max="7" width="14.6640625" style="225" customWidth="1"/>
    <col min="8" max="8" width="21.44140625" style="225" customWidth="1"/>
    <col min="9" max="9" width="22.88671875" style="225" customWidth="1"/>
    <col min="10" max="11" width="14" style="225" customWidth="1"/>
    <col min="12" max="12" width="2.5546875" style="225" customWidth="1"/>
    <col min="13" max="13" width="15.109375" style="225" customWidth="1"/>
    <col min="14" max="16384" width="11.44140625" style="225"/>
  </cols>
  <sheetData>
    <row r="2" spans="3:9" ht="13.5" customHeight="1">
      <c r="C2" s="99" t="s">
        <v>1</v>
      </c>
      <c r="D2" s="100" t="s">
        <v>15</v>
      </c>
      <c r="E2" s="1" t="s">
        <v>18</v>
      </c>
      <c r="F2" s="1"/>
      <c r="G2" s="1"/>
      <c r="H2" s="1"/>
      <c r="I2" s="1"/>
    </row>
    <row r="3" spans="3:9" ht="13.5" customHeight="1">
      <c r="C3" s="101" t="s">
        <v>2</v>
      </c>
      <c r="D3" s="273"/>
      <c r="E3" s="273"/>
      <c r="G3" s="102" t="s">
        <v>14</v>
      </c>
      <c r="H3" s="236"/>
    </row>
    <row r="4" spans="3:9" ht="13.5" customHeight="1">
      <c r="C4" s="102" t="s">
        <v>3</v>
      </c>
      <c r="D4" s="274" t="s">
        <v>16</v>
      </c>
      <c r="E4" s="274"/>
      <c r="G4" s="102" t="s">
        <v>24</v>
      </c>
      <c r="H4" s="236"/>
    </row>
    <row r="5" spans="3:9" ht="13.5" customHeight="1">
      <c r="C5" s="102" t="s">
        <v>4</v>
      </c>
      <c r="D5" s="273"/>
      <c r="E5" s="273"/>
      <c r="F5" s="279" t="s">
        <v>20</v>
      </c>
      <c r="G5" s="280"/>
      <c r="H5" s="281"/>
    </row>
    <row r="6" spans="3:9" ht="13.5" customHeight="1">
      <c r="C6" s="216" t="s">
        <v>5</v>
      </c>
      <c r="D6" s="275"/>
      <c r="E6" s="275"/>
      <c r="F6" s="279"/>
      <c r="G6" s="282"/>
      <c r="H6" s="283"/>
    </row>
    <row r="7" spans="3:9" ht="13.5" customHeight="1">
      <c r="C7" s="238" t="s">
        <v>6</v>
      </c>
      <c r="D7" s="273"/>
      <c r="E7" s="273"/>
      <c r="F7" s="279"/>
      <c r="G7" s="282"/>
      <c r="H7" s="283"/>
    </row>
    <row r="8" spans="3:9" ht="13.5" customHeight="1">
      <c r="C8" s="101" t="s">
        <v>7</v>
      </c>
      <c r="D8" s="273"/>
      <c r="E8" s="273"/>
      <c r="F8" s="279"/>
      <c r="G8" s="284"/>
      <c r="H8" s="285"/>
    </row>
    <row r="10" spans="3:9" ht="39.6">
      <c r="C10" s="217" t="s">
        <v>8</v>
      </c>
      <c r="D10" s="217" t="s">
        <v>17</v>
      </c>
      <c r="E10" s="221" t="s">
        <v>19</v>
      </c>
      <c r="F10" s="217" t="s">
        <v>21</v>
      </c>
      <c r="G10" s="278" t="s">
        <v>25</v>
      </c>
      <c r="H10" s="278"/>
    </row>
    <row r="11" spans="3:9" ht="13.5" customHeight="1">
      <c r="C11" s="236"/>
      <c r="D11" s="236"/>
      <c r="E11" s="236"/>
      <c r="F11" s="236"/>
      <c r="G11" s="276"/>
      <c r="H11" s="277"/>
    </row>
    <row r="12" spans="3:9" ht="13.5" customHeight="1">
      <c r="C12" s="236"/>
      <c r="D12" s="236"/>
      <c r="E12" s="236"/>
      <c r="F12" s="236"/>
      <c r="G12" s="276"/>
      <c r="H12" s="277"/>
    </row>
    <row r="13" spans="3:9" ht="13.5" customHeight="1">
      <c r="C13" s="236"/>
      <c r="D13" s="236"/>
      <c r="E13" s="236"/>
      <c r="F13" s="236"/>
      <c r="G13" s="276"/>
      <c r="H13" s="277"/>
    </row>
    <row r="14" spans="3:9" ht="13.5" customHeight="1">
      <c r="C14" s="236"/>
      <c r="D14" s="236"/>
      <c r="E14" s="236"/>
      <c r="F14" s="236"/>
      <c r="G14" s="276"/>
      <c r="H14" s="277"/>
    </row>
    <row r="15" spans="3:9" ht="13.5" customHeight="1">
      <c r="C15" s="236"/>
      <c r="D15" s="236"/>
      <c r="E15" s="236"/>
      <c r="F15" s="236"/>
      <c r="G15" s="276"/>
      <c r="H15" s="277"/>
    </row>
    <row r="16" spans="3:9" ht="13.5" customHeight="1">
      <c r="C16" s="236"/>
      <c r="D16" s="236"/>
      <c r="E16" s="236"/>
      <c r="F16" s="236"/>
      <c r="G16" s="276"/>
      <c r="H16" s="277"/>
    </row>
    <row r="17" spans="2:13" ht="13.5" customHeight="1">
      <c r="C17" s="236"/>
      <c r="D17" s="236"/>
      <c r="E17" s="236"/>
      <c r="F17" s="236"/>
      <c r="G17" s="276"/>
      <c r="H17" s="277"/>
    </row>
    <row r="18" spans="2:13" ht="13.5" customHeight="1">
      <c r="C18" s="236"/>
      <c r="D18" s="236"/>
      <c r="E18" s="236"/>
      <c r="F18" s="236"/>
      <c r="G18" s="276"/>
      <c r="H18" s="277"/>
    </row>
    <row r="19" spans="2:13" ht="13.5" customHeight="1">
      <c r="C19" s="236"/>
      <c r="D19" s="236"/>
      <c r="E19" s="236"/>
      <c r="F19" s="236"/>
      <c r="G19" s="276"/>
      <c r="H19" s="277"/>
    </row>
    <row r="20" spans="2:13" ht="13.5" customHeight="1">
      <c r="C20" s="236"/>
      <c r="D20" s="236"/>
      <c r="E20" s="236"/>
      <c r="F20" s="236"/>
      <c r="G20" s="276"/>
      <c r="H20" s="277"/>
    </row>
    <row r="21" spans="2:13" ht="13.5" customHeight="1">
      <c r="C21" s="236"/>
      <c r="D21" s="236"/>
      <c r="E21" s="236"/>
      <c r="F21" s="236"/>
      <c r="G21" s="276"/>
      <c r="H21" s="277"/>
    </row>
    <row r="22" spans="2:13" ht="13.5" customHeight="1">
      <c r="C22" s="236"/>
      <c r="D22" s="236"/>
      <c r="E22" s="236"/>
      <c r="F22" s="236"/>
      <c r="G22" s="276"/>
      <c r="H22" s="277"/>
    </row>
    <row r="23" spans="2:13" ht="13.5" customHeight="1">
      <c r="C23" s="236"/>
      <c r="D23" s="236"/>
      <c r="E23" s="236"/>
      <c r="F23" s="236"/>
      <c r="G23" s="276"/>
      <c r="H23" s="277"/>
    </row>
    <row r="24" spans="2:13" ht="13.8" thickBot="1">
      <c r="F24" s="226"/>
      <c r="G24" s="226"/>
      <c r="H24" s="226"/>
      <c r="I24" s="226"/>
      <c r="J24" s="226"/>
    </row>
    <row r="25" spans="2:13" ht="13.5" customHeight="1" thickBot="1">
      <c r="B25" s="218" t="s">
        <v>0</v>
      </c>
      <c r="C25" s="227" t="s">
        <v>9</v>
      </c>
      <c r="D25" s="228"/>
      <c r="E25" s="228"/>
      <c r="F25" s="228"/>
      <c r="G25" s="228"/>
      <c r="H25" s="229"/>
      <c r="I25" s="226"/>
      <c r="J25" s="226"/>
      <c r="K25" s="226"/>
    </row>
    <row r="26" spans="2:13" ht="13.8" thickBot="1">
      <c r="F26" s="226"/>
      <c r="G26" s="226"/>
      <c r="H26" s="226"/>
      <c r="I26" s="226"/>
      <c r="J26" s="226"/>
    </row>
    <row r="27" spans="2:13" ht="13.8" thickBot="1">
      <c r="B27" s="219" t="s">
        <v>0</v>
      </c>
      <c r="C27" s="290" t="s">
        <v>10</v>
      </c>
      <c r="D27" s="271"/>
      <c r="E27" s="271"/>
      <c r="F27" s="271"/>
      <c r="G27" s="271"/>
      <c r="H27" s="272"/>
      <c r="I27" s="230"/>
      <c r="J27" s="230"/>
      <c r="K27" s="230"/>
      <c r="L27" s="230"/>
      <c r="M27" s="230"/>
    </row>
    <row r="28" spans="2:13" ht="13.5" customHeight="1">
      <c r="B28" s="86"/>
      <c r="C28" s="231"/>
      <c r="D28" s="231"/>
      <c r="E28" s="231"/>
      <c r="F28" s="231"/>
      <c r="G28" s="231"/>
      <c r="H28" s="231"/>
      <c r="I28" s="231"/>
      <c r="J28" s="231"/>
      <c r="K28" s="231"/>
      <c r="L28" s="230"/>
      <c r="M28" s="230"/>
    </row>
    <row r="29" spans="2:13" ht="13.5" customHeight="1" thickBot="1">
      <c r="B29" s="86"/>
      <c r="C29" s="234" t="s">
        <v>11</v>
      </c>
      <c r="D29" s="231"/>
      <c r="E29" s="231"/>
      <c r="F29" s="231"/>
      <c r="G29" s="231"/>
      <c r="H29" s="231"/>
      <c r="I29" s="231"/>
      <c r="J29" s="231"/>
      <c r="K29" s="231"/>
      <c r="L29" s="230"/>
      <c r="M29" s="230"/>
    </row>
    <row r="30" spans="2:13" ht="13.5" customHeight="1" thickBot="1">
      <c r="B30" s="86"/>
      <c r="C30" s="270"/>
      <c r="D30" s="271"/>
      <c r="E30" s="271"/>
      <c r="F30" s="271"/>
      <c r="G30" s="271"/>
      <c r="H30" s="272"/>
      <c r="I30" s="231"/>
      <c r="J30" s="231"/>
      <c r="K30" s="231"/>
      <c r="L30" s="230"/>
      <c r="M30" s="230"/>
    </row>
    <row r="31" spans="2:13" ht="13.5" customHeight="1" thickBot="1">
      <c r="B31" s="86"/>
      <c r="C31" s="270"/>
      <c r="D31" s="271"/>
      <c r="E31" s="271"/>
      <c r="F31" s="271"/>
      <c r="G31" s="271"/>
      <c r="H31" s="272"/>
      <c r="I31" s="231"/>
      <c r="J31" s="231"/>
      <c r="K31" s="231"/>
      <c r="L31" s="230"/>
      <c r="M31" s="230"/>
    </row>
    <row r="32" spans="2:13" ht="13.5" customHeight="1" thickBot="1">
      <c r="B32" s="86"/>
      <c r="C32" s="270"/>
      <c r="D32" s="271"/>
      <c r="E32" s="271"/>
      <c r="F32" s="271"/>
      <c r="G32" s="271"/>
      <c r="H32" s="272"/>
      <c r="I32" s="231"/>
      <c r="J32" s="231"/>
      <c r="K32" s="231"/>
      <c r="L32" s="230"/>
      <c r="M32" s="230"/>
    </row>
    <row r="33" spans="2:13" ht="13.5" customHeight="1" thickBot="1">
      <c r="B33" s="86"/>
      <c r="C33" s="270"/>
      <c r="D33" s="271"/>
      <c r="E33" s="271"/>
      <c r="F33" s="271"/>
      <c r="G33" s="271"/>
      <c r="H33" s="272"/>
      <c r="I33" s="231"/>
      <c r="J33" s="231"/>
      <c r="K33" s="231"/>
      <c r="L33" s="230"/>
      <c r="M33" s="230"/>
    </row>
    <row r="34" spans="2:13" ht="13.5" customHeight="1" thickBot="1">
      <c r="B34" s="86"/>
      <c r="C34" s="270"/>
      <c r="D34" s="271"/>
      <c r="E34" s="271"/>
      <c r="F34" s="271"/>
      <c r="G34" s="271"/>
      <c r="H34" s="272"/>
      <c r="I34" s="231"/>
      <c r="J34" s="231"/>
      <c r="K34" s="231"/>
      <c r="L34" s="230"/>
      <c r="M34" s="230"/>
    </row>
    <row r="35" spans="2:13" ht="13.5" customHeight="1" thickBot="1">
      <c r="B35" s="86"/>
      <c r="C35" s="270"/>
      <c r="D35" s="271"/>
      <c r="E35" s="271"/>
      <c r="F35" s="271"/>
      <c r="G35" s="271"/>
      <c r="H35" s="272"/>
      <c r="I35" s="231"/>
      <c r="J35" s="231"/>
      <c r="K35" s="231"/>
      <c r="L35" s="230"/>
      <c r="M35" s="230"/>
    </row>
    <row r="36" spans="2:13" ht="13.5" customHeight="1" thickBot="1">
      <c r="B36" s="86"/>
      <c r="C36" s="270"/>
      <c r="D36" s="271"/>
      <c r="E36" s="271"/>
      <c r="F36" s="271"/>
      <c r="G36" s="271"/>
      <c r="H36" s="272"/>
      <c r="I36" s="231"/>
      <c r="J36" s="231"/>
      <c r="K36" s="231"/>
      <c r="L36" s="230"/>
      <c r="M36" s="230"/>
    </row>
    <row r="37" spans="2:13" ht="13.5" customHeight="1" thickBot="1">
      <c r="B37" s="86"/>
      <c r="C37" s="270"/>
      <c r="D37" s="271"/>
      <c r="E37" s="271"/>
      <c r="F37" s="271"/>
      <c r="G37" s="271"/>
      <c r="H37" s="272"/>
      <c r="I37" s="231"/>
      <c r="J37" s="231"/>
      <c r="K37" s="231"/>
      <c r="L37" s="230"/>
      <c r="M37" s="230"/>
    </row>
    <row r="38" spans="2:13" ht="13.5" customHeight="1">
      <c r="B38" s="86"/>
      <c r="C38" s="231"/>
      <c r="D38" s="231"/>
      <c r="E38" s="231"/>
      <c r="F38" s="231"/>
      <c r="G38" s="231"/>
      <c r="H38" s="231"/>
      <c r="I38" s="231"/>
      <c r="J38" s="231"/>
      <c r="K38" s="231"/>
      <c r="L38" s="230"/>
      <c r="M38" s="230"/>
    </row>
    <row r="39" spans="2:13" ht="13.8" thickBot="1"/>
    <row r="40" spans="2:13" ht="13.8" thickBot="1">
      <c r="C40" s="232" t="s">
        <v>12</v>
      </c>
      <c r="D40" s="288"/>
      <c r="E40" s="289"/>
      <c r="F40" s="233" t="s">
        <v>22</v>
      </c>
      <c r="G40" s="219"/>
      <c r="H40" s="215"/>
      <c r="I40" s="220"/>
    </row>
    <row r="41" spans="2:13" ht="13.8" thickBot="1">
      <c r="C41" s="232"/>
      <c r="D41" s="232"/>
      <c r="E41" s="234"/>
      <c r="F41" s="234"/>
      <c r="G41" s="234"/>
      <c r="H41" s="234"/>
      <c r="I41" s="234"/>
    </row>
    <row r="42" spans="2:13" ht="13.8" thickBot="1">
      <c r="C42" s="286" t="s">
        <v>13</v>
      </c>
      <c r="D42" s="287"/>
      <c r="E42" s="300"/>
      <c r="F42" s="301"/>
      <c r="G42" s="301"/>
      <c r="H42" s="301"/>
      <c r="I42" s="302"/>
    </row>
    <row r="43" spans="2:13" ht="13.8" thickBot="1">
      <c r="C43" s="232"/>
      <c r="D43" s="232"/>
      <c r="E43" s="234"/>
      <c r="F43" s="234"/>
      <c r="G43" s="234"/>
      <c r="H43" s="234"/>
      <c r="I43" s="234"/>
    </row>
    <row r="44" spans="2:13" ht="13.5" customHeight="1">
      <c r="C44" s="232"/>
      <c r="D44" s="232"/>
      <c r="E44" s="226"/>
      <c r="F44" s="226"/>
      <c r="G44" s="291"/>
      <c r="H44" s="292"/>
      <c r="I44" s="293"/>
    </row>
    <row r="45" spans="2:13" ht="13.8" thickBot="1">
      <c r="C45" s="232"/>
      <c r="D45" s="232"/>
      <c r="E45" s="226"/>
      <c r="F45" s="226"/>
      <c r="G45" s="294"/>
      <c r="H45" s="295"/>
      <c r="I45" s="296"/>
    </row>
    <row r="46" spans="2:13" ht="13.8" thickBot="1">
      <c r="C46" s="233" t="s">
        <v>14</v>
      </c>
      <c r="D46" s="288"/>
      <c r="E46" s="289"/>
      <c r="F46" s="233" t="s">
        <v>23</v>
      </c>
      <c r="G46" s="297"/>
      <c r="H46" s="298"/>
      <c r="I46" s="299"/>
    </row>
    <row r="47" spans="2:13" ht="13.5" customHeight="1">
      <c r="F47" s="235"/>
    </row>
    <row r="48" spans="2:13" ht="13.5" customHeight="1">
      <c r="F48" s="235"/>
    </row>
  </sheetData>
  <sheetProtection algorithmName="SHA-512" hashValue="NIgBkaCSY7lT/03tTJnGiGoqi0fLk+6fScJuM6p3Coc7kYzMUK8lfP134+20o4y6nd3yvCViY2vh2UmJmj414Q==" saltValue="Pvrh413eNWQEWiDZXmji7A==" spinCount="100000" sheet="1" selectLockedCells="1"/>
  <mergeCells count="36">
    <mergeCell ref="G16:H16"/>
    <mergeCell ref="C42:D42"/>
    <mergeCell ref="D46:E46"/>
    <mergeCell ref="G17:H17"/>
    <mergeCell ref="G18:H18"/>
    <mergeCell ref="G19:H19"/>
    <mergeCell ref="G20:H20"/>
    <mergeCell ref="G21:H21"/>
    <mergeCell ref="C27:H27"/>
    <mergeCell ref="D40:E40"/>
    <mergeCell ref="G44:I46"/>
    <mergeCell ref="E42:I42"/>
    <mergeCell ref="G22:H22"/>
    <mergeCell ref="G23:H23"/>
    <mergeCell ref="C30:H30"/>
    <mergeCell ref="C31:H31"/>
    <mergeCell ref="D3:E3"/>
    <mergeCell ref="D4:E4"/>
    <mergeCell ref="D5:E5"/>
    <mergeCell ref="D6:E6"/>
    <mergeCell ref="G15:H15"/>
    <mergeCell ref="G10:H10"/>
    <mergeCell ref="G11:H11"/>
    <mergeCell ref="G12:H12"/>
    <mergeCell ref="G13:H13"/>
    <mergeCell ref="G14:H14"/>
    <mergeCell ref="D8:E8"/>
    <mergeCell ref="D7:E7"/>
    <mergeCell ref="F5:F8"/>
    <mergeCell ref="G5:H8"/>
    <mergeCell ref="C37:H37"/>
    <mergeCell ref="C32:H32"/>
    <mergeCell ref="C33:H33"/>
    <mergeCell ref="C34:H34"/>
    <mergeCell ref="C35:H35"/>
    <mergeCell ref="C36:H36"/>
  </mergeCells>
  <dataValidations count="3">
    <dataValidation type="list" showInputMessage="1" showErrorMessage="1" sqref="D5:E5" xr:uid="{00000000-0002-0000-0000-000000000000}">
      <formula1>"Rinse-off product, Leave-on product"</formula1>
    </dataValidation>
    <dataValidation showInputMessage="1" showErrorMessage="1" sqref="D4:E4" xr:uid="{00000000-0002-0000-0000-000001000000}"/>
    <dataValidation type="list" allowBlank="1" showInputMessage="1" showErrorMessage="1" sqref="C30:H37" xr:uid="{00000000-0002-0000-0000-000002000000}">
      <formula1>IF(D5="Leave-on product",leave,rinse)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00000000-0002-0000-0000-000003000000}">
          <x14:formula1>
            <xm:f>Hoja2!$B$3:$B$13</xm:f>
          </x14:formula1>
          <xm:sqref>D6:E6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outlinePr showOutlineSymbols="0"/>
  </sheetPr>
  <dimension ref="A1:K66"/>
  <sheetViews>
    <sheetView showZeros="0" showOutlineSymbols="0" topLeftCell="A4" zoomScale="85" zoomScaleNormal="85" workbookViewId="0">
      <selection activeCell="F11" sqref="F11"/>
    </sheetView>
  </sheetViews>
  <sheetFormatPr defaultColWidth="11.44140625" defaultRowHeight="13.2"/>
  <cols>
    <col min="1" max="1" width="5.44140625" style="1" customWidth="1"/>
    <col min="2" max="4" width="30.6640625" style="1" customWidth="1"/>
    <col min="5" max="5" width="20.33203125" style="1" bestFit="1" customWidth="1"/>
    <col min="6" max="6" width="20.33203125" style="1" customWidth="1"/>
    <col min="7" max="8" width="20.6640625" style="1" customWidth="1"/>
    <col min="9" max="9" width="23" style="1" customWidth="1"/>
    <col min="10" max="10" width="3" style="1" customWidth="1"/>
    <col min="11" max="11" width="12.109375" style="1" customWidth="1"/>
    <col min="12" max="16384" width="11.44140625" style="1"/>
  </cols>
  <sheetData>
    <row r="1" spans="1:11">
      <c r="B1" s="314" t="s">
        <v>42</v>
      </c>
      <c r="C1" s="315"/>
      <c r="D1" s="315"/>
      <c r="E1" s="104"/>
    </row>
    <row r="2" spans="1:11">
      <c r="B2" s="102" t="s">
        <v>26</v>
      </c>
      <c r="C2" s="327" t="str">
        <f>'Product formulation'!C2</f>
        <v/>
      </c>
      <c r="D2" s="327"/>
      <c r="E2" s="24"/>
    </row>
    <row r="3" spans="1:11">
      <c r="B3" s="102" t="s">
        <v>4</v>
      </c>
      <c r="C3" s="327" t="str">
        <f>'Product formulation'!C3</f>
        <v/>
      </c>
      <c r="D3" s="327"/>
      <c r="E3" s="24"/>
    </row>
    <row r="4" spans="1:11">
      <c r="B4" s="103" t="s">
        <v>27</v>
      </c>
      <c r="C4" s="328" t="str">
        <f>'Product formulation'!C4</f>
        <v/>
      </c>
      <c r="D4" s="328"/>
      <c r="E4" s="24"/>
    </row>
    <row r="6" spans="1:11" s="193" customFormat="1" ht="15.6">
      <c r="A6" s="193" t="s">
        <v>157</v>
      </c>
    </row>
    <row r="8" spans="1:11" s="2" customFormat="1">
      <c r="A8" s="4"/>
      <c r="B8" s="313" t="s">
        <v>28</v>
      </c>
      <c r="C8" s="313" t="s">
        <v>32</v>
      </c>
      <c r="D8" s="313" t="s">
        <v>43</v>
      </c>
      <c r="E8" s="189" t="s">
        <v>49</v>
      </c>
      <c r="F8" s="189" t="s">
        <v>158</v>
      </c>
      <c r="G8" s="324" t="s">
        <v>159</v>
      </c>
      <c r="H8" s="326"/>
      <c r="I8" s="317" t="s">
        <v>161</v>
      </c>
      <c r="J8" s="1"/>
      <c r="K8" s="205"/>
    </row>
    <row r="9" spans="1:11" s="2" customFormat="1" ht="40.799999999999997">
      <c r="A9" s="4"/>
      <c r="B9" s="313"/>
      <c r="C9" s="313"/>
      <c r="D9" s="313"/>
      <c r="E9" s="194" t="s">
        <v>37</v>
      </c>
      <c r="F9" s="194" t="s">
        <v>45</v>
      </c>
      <c r="G9" s="194" t="s">
        <v>45</v>
      </c>
      <c r="H9" s="195" t="s">
        <v>160</v>
      </c>
      <c r="I9" s="318"/>
      <c r="J9" s="1"/>
      <c r="K9" s="1"/>
    </row>
    <row r="10" spans="1:11">
      <c r="A10" s="5">
        <v>1</v>
      </c>
      <c r="B10" s="15" t="s">
        <v>29</v>
      </c>
      <c r="C10" s="15"/>
      <c r="D10" s="15"/>
      <c r="E10" s="15">
        <f>'Rinse-off - DID'!G10</f>
        <v>0</v>
      </c>
      <c r="F10" s="7"/>
      <c r="G10" s="7"/>
      <c r="H10" s="7"/>
      <c r="I10" s="7"/>
    </row>
    <row r="11" spans="1:11">
      <c r="A11" s="5">
        <v>2</v>
      </c>
      <c r="B11" s="6" t="str">
        <f>IF(D11="","",VLOOKUP(D11,'Ingoing substances'!$B$11:$C$59,2,FALSE))</f>
        <v/>
      </c>
      <c r="C11" s="6" t="str">
        <f>IF(D11="","",VLOOKUP(B11,'Product formulation'!$B$9:$C$37,2,FALSE))</f>
        <v/>
      </c>
      <c r="D11" s="6" t="str">
        <f>IF('Ingoing substances'!W11="Yes",'Rinse-off - DID'!B11,"")</f>
        <v/>
      </c>
      <c r="E11" s="15" t="str">
        <f>IF('Ingoing substances'!W11="Yes",'Rinse-off - DID'!G11,"")</f>
        <v/>
      </c>
      <c r="F11" s="8"/>
      <c r="G11" s="7"/>
      <c r="H11" s="15" t="str">
        <f>IF(AND(OR(F11="Palm oil",F11="Palm kernel oil"),G11="Mass balance"),"Certified before 2025","")</f>
        <v/>
      </c>
      <c r="I11" s="9"/>
    </row>
    <row r="12" spans="1:11">
      <c r="A12" s="5">
        <v>3</v>
      </c>
      <c r="B12" s="6" t="str">
        <f>IF(D12="","",VLOOKUP(D12,'Ingoing substances'!$B$11:$C$59,2,FALSE))</f>
        <v/>
      </c>
      <c r="C12" s="6" t="str">
        <f>IF(D12="","",VLOOKUP(B12,'Product formulation'!$B$9:$C$37,2,FALSE))</f>
        <v/>
      </c>
      <c r="D12" s="6" t="str">
        <f>IF('Ingoing substances'!W12="Yes",'Rinse-off - DID'!B12,"")</f>
        <v/>
      </c>
      <c r="E12" s="15" t="str">
        <f>IF('Ingoing substances'!W12="Yes",'Rinse-off - DID'!G12,"")</f>
        <v/>
      </c>
      <c r="F12" s="7"/>
      <c r="G12" s="7"/>
      <c r="H12" s="15" t="str">
        <f t="shared" ref="H12:H59" si="0">IF(AND(OR(F12="Palm oil",F12="Palm kernel oil"),G12="Mass balance"),"Certified before 2025","")</f>
        <v/>
      </c>
      <c r="I12" s="9"/>
    </row>
    <row r="13" spans="1:11">
      <c r="A13" s="5">
        <v>4</v>
      </c>
      <c r="B13" s="6" t="str">
        <f>IF(D13="","",VLOOKUP(D13,'Ingoing substances'!$B$11:$C$59,2,FALSE))</f>
        <v/>
      </c>
      <c r="C13" s="6" t="str">
        <f>IF(D13="","",VLOOKUP(B13,'Product formulation'!$B$9:$C$37,2,FALSE))</f>
        <v/>
      </c>
      <c r="D13" s="6" t="str">
        <f>IF('Ingoing substances'!W13="Yes",'Rinse-off - DID'!B13,"")</f>
        <v/>
      </c>
      <c r="E13" s="15" t="str">
        <f>IF('Ingoing substances'!W13="Yes",'Rinse-off - DID'!G13,"")</f>
        <v/>
      </c>
      <c r="F13" s="7"/>
      <c r="G13" s="7"/>
      <c r="H13" s="15" t="str">
        <f t="shared" si="0"/>
        <v/>
      </c>
      <c r="I13" s="9"/>
    </row>
    <row r="14" spans="1:11">
      <c r="A14" s="5">
        <v>5</v>
      </c>
      <c r="B14" s="6" t="str">
        <f>IF(D14="","",VLOOKUP(D14,'Ingoing substances'!$B$11:$C$59,2,FALSE))</f>
        <v/>
      </c>
      <c r="C14" s="6" t="str">
        <f>IF(D14="","",VLOOKUP(B14,'Product formulation'!$B$9:$C$37,2,FALSE))</f>
        <v/>
      </c>
      <c r="D14" s="6" t="str">
        <f>IF('Ingoing substances'!W14="Yes",'Rinse-off - DID'!B14,"")</f>
        <v/>
      </c>
      <c r="E14" s="15" t="str">
        <f>IF('Ingoing substances'!W14="Yes",'Rinse-off - DID'!G14,"")</f>
        <v/>
      </c>
      <c r="F14" s="7"/>
      <c r="G14" s="7"/>
      <c r="H14" s="15" t="str">
        <f t="shared" si="0"/>
        <v/>
      </c>
      <c r="I14" s="9"/>
    </row>
    <row r="15" spans="1:11">
      <c r="A15" s="5">
        <v>6</v>
      </c>
      <c r="B15" s="6" t="str">
        <f>IF(D15="","",VLOOKUP(D15,'Ingoing substances'!$B$11:$C$59,2,FALSE))</f>
        <v/>
      </c>
      <c r="C15" s="6" t="str">
        <f>IF(D15="","",VLOOKUP(B15,'Product formulation'!$B$9:$C$37,2,FALSE))</f>
        <v/>
      </c>
      <c r="D15" s="6" t="str">
        <f>IF('Ingoing substances'!W15="Yes",'Rinse-off - DID'!B15,"")</f>
        <v/>
      </c>
      <c r="E15" s="15" t="str">
        <f>IF('Ingoing substances'!W15="Yes",'Rinse-off - DID'!G15,"")</f>
        <v/>
      </c>
      <c r="F15" s="7"/>
      <c r="G15" s="7"/>
      <c r="H15" s="15" t="str">
        <f t="shared" si="0"/>
        <v/>
      </c>
      <c r="I15" s="9"/>
    </row>
    <row r="16" spans="1:11">
      <c r="A16" s="5">
        <v>7</v>
      </c>
      <c r="B16" s="6" t="str">
        <f>IF(D16="","",VLOOKUP(D16,'Ingoing substances'!$B$11:$C$59,2,FALSE))</f>
        <v/>
      </c>
      <c r="C16" s="6" t="str">
        <f>IF(D16="","",VLOOKUP(B16,'Product formulation'!$B$9:$C$37,2,FALSE))</f>
        <v/>
      </c>
      <c r="D16" s="6" t="str">
        <f>IF('Ingoing substances'!W16="Yes",'Rinse-off - DID'!B16,"")</f>
        <v/>
      </c>
      <c r="E16" s="15" t="str">
        <f>IF('Ingoing substances'!W16="Yes",'Rinse-off - DID'!G16,"")</f>
        <v/>
      </c>
      <c r="F16" s="7"/>
      <c r="G16" s="7"/>
      <c r="H16" s="15" t="str">
        <f t="shared" si="0"/>
        <v/>
      </c>
      <c r="I16" s="9"/>
    </row>
    <row r="17" spans="1:9">
      <c r="A17" s="5">
        <v>8</v>
      </c>
      <c r="B17" s="6" t="str">
        <f>IF(D17="","",VLOOKUP(D17,'Ingoing substances'!$B$11:$C$59,2,FALSE))</f>
        <v/>
      </c>
      <c r="C17" s="6" t="str">
        <f>IF(D17="","",VLOOKUP(B17,'Product formulation'!$B$9:$C$37,2,FALSE))</f>
        <v/>
      </c>
      <c r="D17" s="6" t="str">
        <f>IF('Ingoing substances'!W17="Yes",'Rinse-off - DID'!B17,"")</f>
        <v/>
      </c>
      <c r="E17" s="15" t="str">
        <f>IF('Ingoing substances'!W17="Yes",'Rinse-off - DID'!G17,"")</f>
        <v/>
      </c>
      <c r="F17" s="7"/>
      <c r="G17" s="7"/>
      <c r="H17" s="15" t="str">
        <f t="shared" si="0"/>
        <v/>
      </c>
      <c r="I17" s="9"/>
    </row>
    <row r="18" spans="1:9">
      <c r="A18" s="5">
        <v>9</v>
      </c>
      <c r="B18" s="6" t="str">
        <f>IF(D18="","",VLOOKUP(D18,'Ingoing substances'!$B$11:$C$59,2,FALSE))</f>
        <v/>
      </c>
      <c r="C18" s="6" t="str">
        <f>IF(D18="","",VLOOKUP(B18,'Product formulation'!$B$9:$C$37,2,FALSE))</f>
        <v/>
      </c>
      <c r="D18" s="6" t="str">
        <f>IF('Ingoing substances'!W18="Yes",'Rinse-off - DID'!B18,"")</f>
        <v/>
      </c>
      <c r="E18" s="15" t="str">
        <f>IF('Ingoing substances'!W18="Yes",'Rinse-off - DID'!G18,"")</f>
        <v/>
      </c>
      <c r="F18" s="7"/>
      <c r="G18" s="7"/>
      <c r="H18" s="15" t="str">
        <f t="shared" si="0"/>
        <v/>
      </c>
      <c r="I18" s="9"/>
    </row>
    <row r="19" spans="1:9">
      <c r="A19" s="5">
        <v>10</v>
      </c>
      <c r="B19" s="6" t="str">
        <f>IF(D19="","",VLOOKUP(D19,'Ingoing substances'!$B$11:$C$59,2,FALSE))</f>
        <v/>
      </c>
      <c r="C19" s="6" t="str">
        <f>IF(D19="","",VLOOKUP(B19,'Product formulation'!$B$9:$C$37,2,FALSE))</f>
        <v/>
      </c>
      <c r="D19" s="6" t="str">
        <f>IF('Ingoing substances'!W19="Yes",'Rinse-off - DID'!B19,"")</f>
        <v/>
      </c>
      <c r="E19" s="15" t="str">
        <f>IF('Ingoing substances'!W19="Yes",'Rinse-off - DID'!G19,"")</f>
        <v/>
      </c>
      <c r="F19" s="7"/>
      <c r="G19" s="7"/>
      <c r="H19" s="15" t="str">
        <f t="shared" si="0"/>
        <v/>
      </c>
      <c r="I19" s="9"/>
    </row>
    <row r="20" spans="1:9">
      <c r="A20" s="5">
        <v>11</v>
      </c>
      <c r="B20" s="6" t="str">
        <f>IF(D20="","",VLOOKUP(D20,'Ingoing substances'!$B$11:$C$59,2,FALSE))</f>
        <v/>
      </c>
      <c r="C20" s="6" t="str">
        <f>IF(D20="","",VLOOKUP(B20,'Product formulation'!$B$9:$C$37,2,FALSE))</f>
        <v/>
      </c>
      <c r="D20" s="6" t="str">
        <f>IF('Ingoing substances'!W20="Yes",'Rinse-off - DID'!B20,"")</f>
        <v/>
      </c>
      <c r="E20" s="15" t="str">
        <f>IF('Ingoing substances'!W20="Yes",'Rinse-off - DID'!G20,"")</f>
        <v/>
      </c>
      <c r="F20" s="7"/>
      <c r="G20" s="7"/>
      <c r="H20" s="15" t="str">
        <f t="shared" si="0"/>
        <v/>
      </c>
      <c r="I20" s="9"/>
    </row>
    <row r="21" spans="1:9">
      <c r="A21" s="5">
        <v>12</v>
      </c>
      <c r="B21" s="6" t="str">
        <f>IF(D21="","",VLOOKUP(D21,'Ingoing substances'!$B$11:$C$59,2,FALSE))</f>
        <v/>
      </c>
      <c r="C21" s="6" t="str">
        <f>IF(D21="","",VLOOKUP(B21,'Product formulation'!$B$9:$C$37,2,FALSE))</f>
        <v/>
      </c>
      <c r="D21" s="6" t="str">
        <f>IF('Ingoing substances'!W21="Yes",'Rinse-off - DID'!B21,"")</f>
        <v/>
      </c>
      <c r="E21" s="15" t="str">
        <f>IF('Ingoing substances'!W21="Yes",'Rinse-off - DID'!G21,"")</f>
        <v/>
      </c>
      <c r="F21" s="7"/>
      <c r="G21" s="7"/>
      <c r="H21" s="15" t="str">
        <f t="shared" si="0"/>
        <v/>
      </c>
      <c r="I21" s="9"/>
    </row>
    <row r="22" spans="1:9">
      <c r="A22" s="5">
        <v>13</v>
      </c>
      <c r="B22" s="6" t="str">
        <f>IF(D22="","",VLOOKUP(D22,'Ingoing substances'!$B$11:$C$59,2,FALSE))</f>
        <v/>
      </c>
      <c r="C22" s="6" t="str">
        <f>IF(D22="","",VLOOKUP(B22,'Product formulation'!$B$9:$C$37,2,FALSE))</f>
        <v/>
      </c>
      <c r="D22" s="6" t="str">
        <f>IF('Ingoing substances'!W22="Yes",'Rinse-off - DID'!B22,"")</f>
        <v/>
      </c>
      <c r="E22" s="15" t="str">
        <f>IF('Ingoing substances'!W22="Yes",'Rinse-off - DID'!G22,"")</f>
        <v/>
      </c>
      <c r="F22" s="7"/>
      <c r="G22" s="7"/>
      <c r="H22" s="15" t="str">
        <f t="shared" si="0"/>
        <v/>
      </c>
      <c r="I22" s="9"/>
    </row>
    <row r="23" spans="1:9">
      <c r="A23" s="5">
        <v>14</v>
      </c>
      <c r="B23" s="6" t="str">
        <f>IF(D23="","",VLOOKUP(D23,'Ingoing substances'!$B$11:$C$59,2,FALSE))</f>
        <v/>
      </c>
      <c r="C23" s="6" t="str">
        <f>IF(D23="","",VLOOKUP(B23,'Product formulation'!$B$9:$C$37,2,FALSE))</f>
        <v/>
      </c>
      <c r="D23" s="6" t="str">
        <f>IF('Ingoing substances'!W23="Yes",'Rinse-off - DID'!B23,"")</f>
        <v/>
      </c>
      <c r="E23" s="15" t="str">
        <f>IF('Ingoing substances'!W23="Yes",'Rinse-off - DID'!G23,"")</f>
        <v/>
      </c>
      <c r="F23" s="7"/>
      <c r="G23" s="7"/>
      <c r="H23" s="15" t="str">
        <f t="shared" si="0"/>
        <v/>
      </c>
      <c r="I23" s="9"/>
    </row>
    <row r="24" spans="1:9">
      <c r="A24" s="5">
        <v>15</v>
      </c>
      <c r="B24" s="6" t="str">
        <f>IF(D24="","",VLOOKUP(D24,'Ingoing substances'!$B$11:$C$59,2,FALSE))</f>
        <v/>
      </c>
      <c r="C24" s="6" t="str">
        <f>IF(D24="","",VLOOKUP(B24,'Product formulation'!$B$9:$C$37,2,FALSE))</f>
        <v/>
      </c>
      <c r="D24" s="6" t="str">
        <f>IF('Ingoing substances'!W24="Yes",'Rinse-off - DID'!B24,"")</f>
        <v/>
      </c>
      <c r="E24" s="15" t="str">
        <f>IF('Ingoing substances'!W24="Yes",'Rinse-off - DID'!G24,"")</f>
        <v/>
      </c>
      <c r="F24" s="7"/>
      <c r="G24" s="7"/>
      <c r="H24" s="15" t="str">
        <f t="shared" si="0"/>
        <v/>
      </c>
      <c r="I24" s="9"/>
    </row>
    <row r="25" spans="1:9">
      <c r="A25" s="5">
        <v>16</v>
      </c>
      <c r="B25" s="6" t="str">
        <f>IF(D25="","",VLOOKUP(D25,'Ingoing substances'!$B$11:$C$59,2,FALSE))</f>
        <v/>
      </c>
      <c r="C25" s="6" t="str">
        <f>IF(D25="","",VLOOKUP(B25,'Product formulation'!$B$9:$C$37,2,FALSE))</f>
        <v/>
      </c>
      <c r="D25" s="6" t="str">
        <f>IF('Ingoing substances'!W25="Yes",'Rinse-off - DID'!B25,"")</f>
        <v/>
      </c>
      <c r="E25" s="15" t="str">
        <f>IF('Ingoing substances'!W25="Yes",'Rinse-off - DID'!G25,"")</f>
        <v/>
      </c>
      <c r="F25" s="7"/>
      <c r="G25" s="7"/>
      <c r="H25" s="15" t="str">
        <f t="shared" si="0"/>
        <v/>
      </c>
      <c r="I25" s="9"/>
    </row>
    <row r="26" spans="1:9">
      <c r="A26" s="5">
        <v>17</v>
      </c>
      <c r="B26" s="6" t="str">
        <f>IF(D26="","",VLOOKUP(D26,'Ingoing substances'!$B$11:$C$59,2,FALSE))</f>
        <v/>
      </c>
      <c r="C26" s="6" t="str">
        <f>IF(D26="","",VLOOKUP(B26,'Product formulation'!$B$9:$C$37,2,FALSE))</f>
        <v/>
      </c>
      <c r="D26" s="6" t="str">
        <f>IF('Ingoing substances'!W26="Yes",'Rinse-off - DID'!B26,"")</f>
        <v/>
      </c>
      <c r="E26" s="15" t="str">
        <f>IF('Ingoing substances'!W26="Yes",'Rinse-off - DID'!G26,"")</f>
        <v/>
      </c>
      <c r="F26" s="7"/>
      <c r="G26" s="7"/>
      <c r="H26" s="15" t="str">
        <f t="shared" si="0"/>
        <v/>
      </c>
      <c r="I26" s="9"/>
    </row>
    <row r="27" spans="1:9">
      <c r="A27" s="5">
        <v>18</v>
      </c>
      <c r="B27" s="6" t="str">
        <f>IF(D27="","",VLOOKUP(D27,'Ingoing substances'!$B$11:$C$59,2,FALSE))</f>
        <v/>
      </c>
      <c r="C27" s="6" t="str">
        <f>IF(D27="","",VLOOKUP(B27,'Product formulation'!$B$9:$C$37,2,FALSE))</f>
        <v/>
      </c>
      <c r="D27" s="6" t="str">
        <f>IF('Ingoing substances'!W27="Yes",'Rinse-off - DID'!B27,"")</f>
        <v/>
      </c>
      <c r="E27" s="15" t="str">
        <f>IF('Ingoing substances'!W27="Yes",'Rinse-off - DID'!G27,"")</f>
        <v/>
      </c>
      <c r="F27" s="7"/>
      <c r="G27" s="7"/>
      <c r="H27" s="15" t="str">
        <f t="shared" si="0"/>
        <v/>
      </c>
      <c r="I27" s="9"/>
    </row>
    <row r="28" spans="1:9">
      <c r="A28" s="5">
        <v>19</v>
      </c>
      <c r="B28" s="6" t="str">
        <f>IF(D28="","",VLOOKUP(D28,'Ingoing substances'!$B$11:$C$59,2,FALSE))</f>
        <v/>
      </c>
      <c r="C28" s="6" t="str">
        <f>IF(D28="","",VLOOKUP(B28,'Product formulation'!$B$9:$C$37,2,FALSE))</f>
        <v/>
      </c>
      <c r="D28" s="6" t="str">
        <f>IF('Ingoing substances'!W28="Yes",'Rinse-off - DID'!B28,"")</f>
        <v/>
      </c>
      <c r="E28" s="15" t="str">
        <f>IF('Ingoing substances'!W28="Yes",'Rinse-off - DID'!G28,"")</f>
        <v/>
      </c>
      <c r="F28" s="7"/>
      <c r="G28" s="7"/>
      <c r="H28" s="15" t="str">
        <f t="shared" si="0"/>
        <v/>
      </c>
      <c r="I28" s="9"/>
    </row>
    <row r="29" spans="1:9">
      <c r="A29" s="5">
        <v>20</v>
      </c>
      <c r="B29" s="6" t="str">
        <f>IF(D29="","",VLOOKUP(D29,'Ingoing substances'!$B$11:$C$59,2,FALSE))</f>
        <v/>
      </c>
      <c r="C29" s="6" t="str">
        <f>IF(D29="","",VLOOKUP(B29,'Product formulation'!$B$9:$C$37,2,FALSE))</f>
        <v/>
      </c>
      <c r="D29" s="6" t="str">
        <f>IF('Ingoing substances'!W29="Yes",'Rinse-off - DID'!B29,"")</f>
        <v/>
      </c>
      <c r="E29" s="15" t="str">
        <f>IF('Ingoing substances'!W29="Yes",'Rinse-off - DID'!G29,"")</f>
        <v/>
      </c>
      <c r="F29" s="7"/>
      <c r="G29" s="7"/>
      <c r="H29" s="15" t="str">
        <f t="shared" si="0"/>
        <v/>
      </c>
      <c r="I29" s="9"/>
    </row>
    <row r="30" spans="1:9">
      <c r="A30" s="5">
        <v>21</v>
      </c>
      <c r="B30" s="6" t="str">
        <f>IF(D30="","",VLOOKUP(D30,'Ingoing substances'!$B$11:$C$59,2,FALSE))</f>
        <v/>
      </c>
      <c r="C30" s="6" t="str">
        <f>IF(D30="","",VLOOKUP(B30,'Product formulation'!$B$9:$C$37,2,FALSE))</f>
        <v/>
      </c>
      <c r="D30" s="6" t="str">
        <f>IF('Ingoing substances'!W30="Yes",'Rinse-off - DID'!B30,"")</f>
        <v/>
      </c>
      <c r="E30" s="15" t="str">
        <f>IF('Ingoing substances'!W30="Yes",'Rinse-off - DID'!G30,"")</f>
        <v/>
      </c>
      <c r="F30" s="7"/>
      <c r="G30" s="7"/>
      <c r="H30" s="15" t="str">
        <f t="shared" si="0"/>
        <v/>
      </c>
      <c r="I30" s="9"/>
    </row>
    <row r="31" spans="1:9">
      <c r="A31" s="5">
        <v>22</v>
      </c>
      <c r="B31" s="6" t="str">
        <f>IF(D31="","",VLOOKUP(D31,'Ingoing substances'!$B$11:$C$59,2,FALSE))</f>
        <v/>
      </c>
      <c r="C31" s="6" t="str">
        <f>IF(D31="","",VLOOKUP(B31,'Product formulation'!$B$9:$C$37,2,FALSE))</f>
        <v/>
      </c>
      <c r="D31" s="6" t="str">
        <f>IF('Ingoing substances'!W31="Yes",'Rinse-off - DID'!B31,"")</f>
        <v/>
      </c>
      <c r="E31" s="15" t="str">
        <f>IF('Ingoing substances'!W31="Yes",'Rinse-off - DID'!G31,"")</f>
        <v/>
      </c>
      <c r="F31" s="7"/>
      <c r="G31" s="7"/>
      <c r="H31" s="15" t="str">
        <f t="shared" si="0"/>
        <v/>
      </c>
      <c r="I31" s="9"/>
    </row>
    <row r="32" spans="1:9">
      <c r="A32" s="5">
        <v>23</v>
      </c>
      <c r="B32" s="6" t="str">
        <f>IF(D32="","",VLOOKUP(D32,'Ingoing substances'!$B$11:$C$59,2,FALSE))</f>
        <v/>
      </c>
      <c r="C32" s="6" t="str">
        <f>IF(D32="","",VLOOKUP(B32,'Product formulation'!$B$9:$C$37,2,FALSE))</f>
        <v/>
      </c>
      <c r="D32" s="6" t="str">
        <f>IF('Ingoing substances'!W32="Yes",'Rinse-off - DID'!B32,"")</f>
        <v/>
      </c>
      <c r="E32" s="15" t="str">
        <f>IF('Ingoing substances'!W32="Yes",'Rinse-off - DID'!G32,"")</f>
        <v/>
      </c>
      <c r="F32" s="7"/>
      <c r="G32" s="7"/>
      <c r="H32" s="15" t="str">
        <f t="shared" si="0"/>
        <v/>
      </c>
      <c r="I32" s="9"/>
    </row>
    <row r="33" spans="1:9">
      <c r="A33" s="5">
        <v>24</v>
      </c>
      <c r="B33" s="6" t="str">
        <f>IF(D33="","",VLOOKUP(D33,'Ingoing substances'!$B$11:$C$59,2,FALSE))</f>
        <v/>
      </c>
      <c r="C33" s="6" t="str">
        <f>IF(D33="","",VLOOKUP(B33,'Product formulation'!$B$9:$C$37,2,FALSE))</f>
        <v/>
      </c>
      <c r="D33" s="6" t="str">
        <f>IF('Ingoing substances'!W33="Yes",'Rinse-off - DID'!B33,"")</f>
        <v/>
      </c>
      <c r="E33" s="15" t="str">
        <f>IF('Ingoing substances'!W33="Yes",'Rinse-off - DID'!G33,"")</f>
        <v/>
      </c>
      <c r="F33" s="7"/>
      <c r="G33" s="7"/>
      <c r="H33" s="15" t="str">
        <f t="shared" si="0"/>
        <v/>
      </c>
      <c r="I33" s="9"/>
    </row>
    <row r="34" spans="1:9">
      <c r="A34" s="5">
        <v>25</v>
      </c>
      <c r="B34" s="6" t="str">
        <f>IF(D34="","",VLOOKUP(D34,'Ingoing substances'!$B$11:$C$59,2,FALSE))</f>
        <v/>
      </c>
      <c r="C34" s="6" t="str">
        <f>IF(D34="","",VLOOKUP(B34,'Product formulation'!$B$9:$C$37,2,FALSE))</f>
        <v/>
      </c>
      <c r="D34" s="6" t="str">
        <f>IF('Ingoing substances'!W34="Yes",'Rinse-off - DID'!B34,"")</f>
        <v/>
      </c>
      <c r="E34" s="15" t="str">
        <f>IF('Ingoing substances'!W34="Yes",'Rinse-off - DID'!G34,"")</f>
        <v/>
      </c>
      <c r="F34" s="7"/>
      <c r="G34" s="7"/>
      <c r="H34" s="15" t="str">
        <f t="shared" si="0"/>
        <v/>
      </c>
      <c r="I34" s="9"/>
    </row>
    <row r="35" spans="1:9">
      <c r="A35" s="5">
        <v>26</v>
      </c>
      <c r="B35" s="6" t="str">
        <f>IF(D35="","",VLOOKUP(D35,'Ingoing substances'!$B$11:$C$59,2,FALSE))</f>
        <v/>
      </c>
      <c r="C35" s="6" t="str">
        <f>IF(D35="","",VLOOKUP(B35,'Product formulation'!$B$9:$C$37,2,FALSE))</f>
        <v/>
      </c>
      <c r="D35" s="6" t="str">
        <f>IF('Ingoing substances'!W35="Yes",'Rinse-off - DID'!B35,"")</f>
        <v/>
      </c>
      <c r="E35" s="15" t="str">
        <f>IF('Ingoing substances'!W35="Yes",'Rinse-off - DID'!G35,"")</f>
        <v/>
      </c>
      <c r="F35" s="7"/>
      <c r="G35" s="7"/>
      <c r="H35" s="15" t="str">
        <f t="shared" si="0"/>
        <v/>
      </c>
      <c r="I35" s="9"/>
    </row>
    <row r="36" spans="1:9">
      <c r="A36" s="5">
        <v>27</v>
      </c>
      <c r="B36" s="6" t="str">
        <f>IF(D36="","",VLOOKUP(D36,'Ingoing substances'!$B$11:$C$59,2,FALSE))</f>
        <v/>
      </c>
      <c r="C36" s="6" t="str">
        <f>IF(D36="","",VLOOKUP(B36,'Product formulation'!$B$9:$C$37,2,FALSE))</f>
        <v/>
      </c>
      <c r="D36" s="6" t="str">
        <f>IF('Ingoing substances'!W36="Yes",'Rinse-off - DID'!B36,"")</f>
        <v/>
      </c>
      <c r="E36" s="15" t="str">
        <f>IF('Ingoing substances'!W36="Yes",'Rinse-off - DID'!G36,"")</f>
        <v/>
      </c>
      <c r="F36" s="7"/>
      <c r="G36" s="7"/>
      <c r="H36" s="15" t="str">
        <f t="shared" si="0"/>
        <v/>
      </c>
      <c r="I36" s="9"/>
    </row>
    <row r="37" spans="1:9">
      <c r="A37" s="5">
        <v>28</v>
      </c>
      <c r="B37" s="6" t="str">
        <f>IF(D37="","",VLOOKUP(D37,'Ingoing substances'!$B$11:$C$59,2,FALSE))</f>
        <v/>
      </c>
      <c r="C37" s="6" t="str">
        <f>IF(D37="","",VLOOKUP(B37,'Product formulation'!$B$9:$C$37,2,FALSE))</f>
        <v/>
      </c>
      <c r="D37" s="6" t="str">
        <f>IF('Ingoing substances'!W37="Yes",'Rinse-off - DID'!B37,"")</f>
        <v/>
      </c>
      <c r="E37" s="15" t="str">
        <f>IF('Ingoing substances'!W37="Yes",'Rinse-off - DID'!G37,"")</f>
        <v/>
      </c>
      <c r="F37" s="7"/>
      <c r="G37" s="7"/>
      <c r="H37" s="15" t="str">
        <f t="shared" si="0"/>
        <v/>
      </c>
      <c r="I37" s="9"/>
    </row>
    <row r="38" spans="1:9">
      <c r="A38" s="5">
        <v>29</v>
      </c>
      <c r="B38" s="6" t="str">
        <f>IF(D38="","",VLOOKUP(D38,'Ingoing substances'!$B$11:$C$59,2,FALSE))</f>
        <v/>
      </c>
      <c r="C38" s="6" t="str">
        <f>IF(D38="","",VLOOKUP(B38,'Product formulation'!$B$9:$C$37,2,FALSE))</f>
        <v/>
      </c>
      <c r="D38" s="6" t="str">
        <f>IF('Ingoing substances'!W38="Yes",'Rinse-off - DID'!B38,"")</f>
        <v/>
      </c>
      <c r="E38" s="15" t="str">
        <f>IF('Ingoing substances'!W38="Yes",'Rinse-off - DID'!G38,"")</f>
        <v/>
      </c>
      <c r="F38" s="7"/>
      <c r="G38" s="7"/>
      <c r="H38" s="15" t="str">
        <f t="shared" si="0"/>
        <v/>
      </c>
      <c r="I38" s="9"/>
    </row>
    <row r="39" spans="1:9">
      <c r="A39" s="5">
        <v>30</v>
      </c>
      <c r="B39" s="6" t="str">
        <f>IF(D39="","",VLOOKUP(D39,'Ingoing substances'!$B$11:$C$59,2,FALSE))</f>
        <v/>
      </c>
      <c r="C39" s="6" t="str">
        <f>IF(D39="","",VLOOKUP(B39,'Product formulation'!$B$9:$C$37,2,FALSE))</f>
        <v/>
      </c>
      <c r="D39" s="6" t="str">
        <f>IF('Ingoing substances'!W39="Yes",'Rinse-off - DID'!B39,"")</f>
        <v/>
      </c>
      <c r="E39" s="15" t="str">
        <f>IF('Ingoing substances'!W39="Yes",'Rinse-off - DID'!G39,"")</f>
        <v/>
      </c>
      <c r="F39" s="7"/>
      <c r="G39" s="7"/>
      <c r="H39" s="15" t="str">
        <f t="shared" si="0"/>
        <v/>
      </c>
      <c r="I39" s="9"/>
    </row>
    <row r="40" spans="1:9">
      <c r="A40" s="5">
        <v>31</v>
      </c>
      <c r="B40" s="6" t="str">
        <f>IF(D40="","",VLOOKUP(D40,'Ingoing substances'!$B$11:$C$59,2,FALSE))</f>
        <v/>
      </c>
      <c r="C40" s="6" t="str">
        <f>IF(D40="","",VLOOKUP(B40,'Product formulation'!$B$9:$C$37,2,FALSE))</f>
        <v/>
      </c>
      <c r="D40" s="6" t="str">
        <f>IF('Ingoing substances'!W40="Yes",'Rinse-off - DID'!B40,"")</f>
        <v/>
      </c>
      <c r="E40" s="15" t="str">
        <f>IF('Ingoing substances'!W40="Yes",'Rinse-off - DID'!G40,"")</f>
        <v/>
      </c>
      <c r="F40" s="7"/>
      <c r="G40" s="7"/>
      <c r="H40" s="15" t="str">
        <f t="shared" si="0"/>
        <v/>
      </c>
      <c r="I40" s="9"/>
    </row>
    <row r="41" spans="1:9">
      <c r="A41" s="5">
        <v>32</v>
      </c>
      <c r="B41" s="6" t="str">
        <f>IF(D41="","",VLOOKUP(D41,'Ingoing substances'!$B$11:$C$59,2,FALSE))</f>
        <v/>
      </c>
      <c r="C41" s="6" t="str">
        <f>IF(D41="","",VLOOKUP(B41,'Product formulation'!$B$9:$C$37,2,FALSE))</f>
        <v/>
      </c>
      <c r="D41" s="6" t="str">
        <f>IF('Ingoing substances'!W41="Yes",'Rinse-off - DID'!B41,"")</f>
        <v/>
      </c>
      <c r="E41" s="15" t="str">
        <f>IF('Ingoing substances'!W41="Yes",'Rinse-off - DID'!G41,"")</f>
        <v/>
      </c>
      <c r="F41" s="7"/>
      <c r="G41" s="7"/>
      <c r="H41" s="15" t="str">
        <f t="shared" si="0"/>
        <v/>
      </c>
      <c r="I41" s="9"/>
    </row>
    <row r="42" spans="1:9">
      <c r="A42" s="5">
        <v>33</v>
      </c>
      <c r="B42" s="6" t="str">
        <f>IF(D42="","",VLOOKUP(D42,'Ingoing substances'!$B$11:$C$59,2,FALSE))</f>
        <v/>
      </c>
      <c r="C42" s="6" t="str">
        <f>IF(D42="","",VLOOKUP(B42,'Product formulation'!$B$9:$C$37,2,FALSE))</f>
        <v/>
      </c>
      <c r="D42" s="6" t="str">
        <f>IF('Ingoing substances'!W42="Yes",'Rinse-off - DID'!B42,"")</f>
        <v/>
      </c>
      <c r="E42" s="15" t="str">
        <f>IF('Ingoing substances'!W42="Yes",'Rinse-off - DID'!G42,"")</f>
        <v/>
      </c>
      <c r="F42" s="7"/>
      <c r="G42" s="7"/>
      <c r="H42" s="15" t="str">
        <f t="shared" si="0"/>
        <v/>
      </c>
      <c r="I42" s="9"/>
    </row>
    <row r="43" spans="1:9">
      <c r="A43" s="5">
        <v>34</v>
      </c>
      <c r="B43" s="6" t="str">
        <f>IF(D43="","",VLOOKUP(D43,'Ingoing substances'!$B$11:$C$59,2,FALSE))</f>
        <v/>
      </c>
      <c r="C43" s="6" t="str">
        <f>IF(D43="","",VLOOKUP(B43,'Product formulation'!$B$9:$C$37,2,FALSE))</f>
        <v/>
      </c>
      <c r="D43" s="6" t="str">
        <f>IF('Ingoing substances'!W43="Yes",'Rinse-off - DID'!B43,"")</f>
        <v/>
      </c>
      <c r="E43" s="15" t="str">
        <f>IF('Ingoing substances'!W43="Yes",'Rinse-off - DID'!G43,"")</f>
        <v/>
      </c>
      <c r="F43" s="7"/>
      <c r="G43" s="7"/>
      <c r="H43" s="15" t="str">
        <f t="shared" si="0"/>
        <v/>
      </c>
      <c r="I43" s="9"/>
    </row>
    <row r="44" spans="1:9">
      <c r="A44" s="5">
        <v>35</v>
      </c>
      <c r="B44" s="6" t="str">
        <f>IF(D44="","",VLOOKUP(D44,'Ingoing substances'!$B$11:$C$59,2,FALSE))</f>
        <v/>
      </c>
      <c r="C44" s="6" t="str">
        <f>IF(D44="","",VLOOKUP(B44,'Product formulation'!$B$9:$C$37,2,FALSE))</f>
        <v/>
      </c>
      <c r="D44" s="6" t="str">
        <f>IF('Ingoing substances'!W44="Yes",'Rinse-off - DID'!B44,"")</f>
        <v/>
      </c>
      <c r="E44" s="15" t="str">
        <f>IF('Ingoing substances'!W44="Yes",'Rinse-off - DID'!G44,"")</f>
        <v/>
      </c>
      <c r="F44" s="7"/>
      <c r="G44" s="7"/>
      <c r="H44" s="15" t="str">
        <f t="shared" si="0"/>
        <v/>
      </c>
      <c r="I44" s="9"/>
    </row>
    <row r="45" spans="1:9">
      <c r="A45" s="5">
        <v>36</v>
      </c>
      <c r="B45" s="6" t="str">
        <f>IF(D45="","",VLOOKUP(D45,'Ingoing substances'!$B$11:$C$59,2,FALSE))</f>
        <v/>
      </c>
      <c r="C45" s="6" t="str">
        <f>IF(D45="","",VLOOKUP(B45,'Product formulation'!$B$9:$C$37,2,FALSE))</f>
        <v/>
      </c>
      <c r="D45" s="6" t="str">
        <f>IF('Ingoing substances'!W45="Yes",'Rinse-off - DID'!B45,"")</f>
        <v/>
      </c>
      <c r="E45" s="15" t="str">
        <f>IF('Ingoing substances'!W45="Yes",'Rinse-off - DID'!G45,"")</f>
        <v/>
      </c>
      <c r="F45" s="7"/>
      <c r="G45" s="7"/>
      <c r="H45" s="15" t="str">
        <f t="shared" si="0"/>
        <v/>
      </c>
      <c r="I45" s="9"/>
    </row>
    <row r="46" spans="1:9">
      <c r="A46" s="5">
        <v>37</v>
      </c>
      <c r="B46" s="6" t="str">
        <f>IF(D46="","",VLOOKUP(D46,'Ingoing substances'!$B$11:$C$59,2,FALSE))</f>
        <v/>
      </c>
      <c r="C46" s="6" t="str">
        <f>IF(D46="","",VLOOKUP(B46,'Product formulation'!$B$9:$C$37,2,FALSE))</f>
        <v/>
      </c>
      <c r="D46" s="6" t="str">
        <f>IF('Ingoing substances'!W46="Yes",'Rinse-off - DID'!B46,"")</f>
        <v/>
      </c>
      <c r="E46" s="15" t="str">
        <f>IF('Ingoing substances'!W46="Yes",'Rinse-off - DID'!G46,"")</f>
        <v/>
      </c>
      <c r="F46" s="7"/>
      <c r="G46" s="7"/>
      <c r="H46" s="15" t="str">
        <f t="shared" si="0"/>
        <v/>
      </c>
      <c r="I46" s="9"/>
    </row>
    <row r="47" spans="1:9">
      <c r="A47" s="5">
        <v>38</v>
      </c>
      <c r="B47" s="6" t="str">
        <f>IF(D47="","",VLOOKUP(D47,'Ingoing substances'!$B$11:$C$59,2,FALSE))</f>
        <v/>
      </c>
      <c r="C47" s="6" t="str">
        <f>IF(D47="","",VLOOKUP(B47,'Product formulation'!$B$9:$C$37,2,FALSE))</f>
        <v/>
      </c>
      <c r="D47" s="6" t="str">
        <f>IF('Ingoing substances'!W47="Yes",'Rinse-off - DID'!B47,"")</f>
        <v/>
      </c>
      <c r="E47" s="15" t="str">
        <f>IF('Ingoing substances'!W47="Yes",'Rinse-off - DID'!G47,"")</f>
        <v/>
      </c>
      <c r="F47" s="7"/>
      <c r="G47" s="7"/>
      <c r="H47" s="15" t="str">
        <f t="shared" si="0"/>
        <v/>
      </c>
      <c r="I47" s="9"/>
    </row>
    <row r="48" spans="1:9">
      <c r="A48" s="5">
        <v>39</v>
      </c>
      <c r="B48" s="6" t="str">
        <f>IF(D48="","",VLOOKUP(D48,'Ingoing substances'!$B$11:$C$59,2,FALSE))</f>
        <v/>
      </c>
      <c r="C48" s="6" t="str">
        <f>IF(D48="","",VLOOKUP(B48,'Product formulation'!$B$9:$C$37,2,FALSE))</f>
        <v/>
      </c>
      <c r="D48" s="6" t="str">
        <f>IF('Ingoing substances'!W48="Yes",'Rinse-off - DID'!B48,"")</f>
        <v/>
      </c>
      <c r="E48" s="15" t="str">
        <f>IF('Ingoing substances'!W48="Yes",'Rinse-off - DID'!G48,"")</f>
        <v/>
      </c>
      <c r="F48" s="7"/>
      <c r="G48" s="7"/>
      <c r="H48" s="15" t="str">
        <f t="shared" si="0"/>
        <v/>
      </c>
      <c r="I48" s="9"/>
    </row>
    <row r="49" spans="1:9">
      <c r="A49" s="5">
        <v>40</v>
      </c>
      <c r="B49" s="6" t="str">
        <f>IF(D49="","",VLOOKUP(D49,'Ingoing substances'!$B$11:$C$59,2,FALSE))</f>
        <v/>
      </c>
      <c r="C49" s="6" t="str">
        <f>IF(D49="","",VLOOKUP(B49,'Product formulation'!$B$9:$C$37,2,FALSE))</f>
        <v/>
      </c>
      <c r="D49" s="6" t="str">
        <f>IF('Ingoing substances'!W49="Yes",'Rinse-off - DID'!B49,"")</f>
        <v/>
      </c>
      <c r="E49" s="15" t="str">
        <f>IF('Ingoing substances'!W49="Yes",'Rinse-off - DID'!G49,"")</f>
        <v/>
      </c>
      <c r="F49" s="7"/>
      <c r="G49" s="7"/>
      <c r="H49" s="15" t="str">
        <f t="shared" si="0"/>
        <v/>
      </c>
      <c r="I49" s="9"/>
    </row>
    <row r="50" spans="1:9">
      <c r="A50" s="5">
        <v>41</v>
      </c>
      <c r="B50" s="6" t="str">
        <f>IF(D50="","",VLOOKUP(D50,'Ingoing substances'!$B$11:$C$59,2,FALSE))</f>
        <v/>
      </c>
      <c r="C50" s="6" t="str">
        <f>IF(D50="","",VLOOKUP(B50,'Product formulation'!$B$9:$C$37,2,FALSE))</f>
        <v/>
      </c>
      <c r="D50" s="6" t="str">
        <f>IF('Ingoing substances'!W50="Yes",'Rinse-off - DID'!B50,"")</f>
        <v/>
      </c>
      <c r="E50" s="15" t="str">
        <f>IF('Ingoing substances'!W50="Yes",'Rinse-off - DID'!G50,"")</f>
        <v/>
      </c>
      <c r="F50" s="7"/>
      <c r="G50" s="7"/>
      <c r="H50" s="15" t="str">
        <f t="shared" si="0"/>
        <v/>
      </c>
      <c r="I50" s="9"/>
    </row>
    <row r="51" spans="1:9">
      <c r="A51" s="5">
        <v>42</v>
      </c>
      <c r="B51" s="6" t="str">
        <f>IF(D51="","",VLOOKUP(D51,'Ingoing substances'!$B$11:$C$59,2,FALSE))</f>
        <v/>
      </c>
      <c r="C51" s="6" t="str">
        <f>IF(D51="","",VLOOKUP(B51,'Product formulation'!$B$9:$C$37,2,FALSE))</f>
        <v/>
      </c>
      <c r="D51" s="6" t="str">
        <f>IF('Ingoing substances'!W51="Yes",'Rinse-off - DID'!B51,"")</f>
        <v/>
      </c>
      <c r="E51" s="15" t="str">
        <f>IF('Ingoing substances'!W51="Yes",'Rinse-off - DID'!G51,"")</f>
        <v/>
      </c>
      <c r="F51" s="7"/>
      <c r="G51" s="7"/>
      <c r="H51" s="15" t="str">
        <f t="shared" si="0"/>
        <v/>
      </c>
      <c r="I51" s="9"/>
    </row>
    <row r="52" spans="1:9">
      <c r="A52" s="5">
        <v>43</v>
      </c>
      <c r="B52" s="6" t="str">
        <f>IF(D52="","",VLOOKUP(D52,'Ingoing substances'!$B$11:$C$59,2,FALSE))</f>
        <v/>
      </c>
      <c r="C52" s="6" t="str">
        <f>IF(D52="","",VLOOKUP(B52,'Product formulation'!$B$9:$C$37,2,FALSE))</f>
        <v/>
      </c>
      <c r="D52" s="6" t="str">
        <f>IF('Ingoing substances'!W52="Yes",'Rinse-off - DID'!B52,"")</f>
        <v/>
      </c>
      <c r="E52" s="15" t="str">
        <f>IF('Ingoing substances'!W52="Yes",'Rinse-off - DID'!G52,"")</f>
        <v/>
      </c>
      <c r="F52" s="7"/>
      <c r="G52" s="7"/>
      <c r="H52" s="15" t="str">
        <f t="shared" si="0"/>
        <v/>
      </c>
      <c r="I52" s="9"/>
    </row>
    <row r="53" spans="1:9">
      <c r="A53" s="5">
        <v>44</v>
      </c>
      <c r="B53" s="6" t="str">
        <f>IF(D53="","",VLOOKUP(D53,'Ingoing substances'!$B$11:$C$59,2,FALSE))</f>
        <v/>
      </c>
      <c r="C53" s="6" t="str">
        <f>IF(D53="","",VLOOKUP(B53,'Product formulation'!$B$9:$C$37,2,FALSE))</f>
        <v/>
      </c>
      <c r="D53" s="6" t="str">
        <f>IF('Ingoing substances'!W53="Yes",'Rinse-off - DID'!B53,"")</f>
        <v/>
      </c>
      <c r="E53" s="15" t="str">
        <f>IF('Ingoing substances'!W53="Yes",'Rinse-off - DID'!G53,"")</f>
        <v/>
      </c>
      <c r="F53" s="7"/>
      <c r="G53" s="7"/>
      <c r="H53" s="15" t="str">
        <f t="shared" si="0"/>
        <v/>
      </c>
      <c r="I53" s="9"/>
    </row>
    <row r="54" spans="1:9">
      <c r="A54" s="5">
        <v>45</v>
      </c>
      <c r="B54" s="6" t="str">
        <f>IF(D54="","",VLOOKUP(D54,'Ingoing substances'!$B$11:$C$59,2,FALSE))</f>
        <v/>
      </c>
      <c r="C54" s="6" t="str">
        <f>IF(D54="","",VLOOKUP(B54,'Product formulation'!$B$9:$C$37,2,FALSE))</f>
        <v/>
      </c>
      <c r="D54" s="6" t="str">
        <f>IF('Ingoing substances'!W54="Yes",'Rinse-off - DID'!B54,"")</f>
        <v/>
      </c>
      <c r="E54" s="15" t="str">
        <f>IF('Ingoing substances'!W54="Yes",'Rinse-off - DID'!G54,"")</f>
        <v/>
      </c>
      <c r="F54" s="7"/>
      <c r="G54" s="7"/>
      <c r="H54" s="15" t="str">
        <f t="shared" si="0"/>
        <v/>
      </c>
      <c r="I54" s="9"/>
    </row>
    <row r="55" spans="1:9">
      <c r="A55" s="5">
        <v>46</v>
      </c>
      <c r="B55" s="6" t="str">
        <f>IF(D55="","",VLOOKUP(D55,'Ingoing substances'!$B$11:$C$59,2,FALSE))</f>
        <v/>
      </c>
      <c r="C55" s="6" t="str">
        <f>IF(D55="","",VLOOKUP(B55,'Product formulation'!$B$9:$C$37,2,FALSE))</f>
        <v/>
      </c>
      <c r="D55" s="6" t="str">
        <f>IF('Ingoing substances'!W55="Yes",'Rinse-off - DID'!B55,"")</f>
        <v/>
      </c>
      <c r="E55" s="15" t="str">
        <f>IF('Ingoing substances'!W55="Yes",'Rinse-off - DID'!G55,"")</f>
        <v/>
      </c>
      <c r="F55" s="7"/>
      <c r="G55" s="7"/>
      <c r="H55" s="15" t="str">
        <f t="shared" si="0"/>
        <v/>
      </c>
      <c r="I55" s="9"/>
    </row>
    <row r="56" spans="1:9">
      <c r="A56" s="5">
        <v>47</v>
      </c>
      <c r="B56" s="6" t="str">
        <f>IF(D56="","",VLOOKUP(D56,'Ingoing substances'!$B$11:$C$59,2,FALSE))</f>
        <v/>
      </c>
      <c r="C56" s="6" t="str">
        <f>IF(D56="","",VLOOKUP(B56,'Product formulation'!$B$9:$C$37,2,FALSE))</f>
        <v/>
      </c>
      <c r="D56" s="6" t="str">
        <f>IF('Ingoing substances'!W56="Yes",'Rinse-off - DID'!B56,"")</f>
        <v/>
      </c>
      <c r="E56" s="15" t="str">
        <f>IF('Ingoing substances'!W56="Yes",'Rinse-off - DID'!G56,"")</f>
        <v/>
      </c>
      <c r="F56" s="7"/>
      <c r="G56" s="7"/>
      <c r="H56" s="15" t="str">
        <f t="shared" si="0"/>
        <v/>
      </c>
      <c r="I56" s="9"/>
    </row>
    <row r="57" spans="1:9">
      <c r="A57" s="5">
        <v>48</v>
      </c>
      <c r="B57" s="6" t="str">
        <f>IF(D57="","",VLOOKUP(D57,'Ingoing substances'!$B$11:$C$59,2,FALSE))</f>
        <v/>
      </c>
      <c r="C57" s="6" t="str">
        <f>IF(D57="","",VLOOKUP(B57,'Product formulation'!$B$9:$C$37,2,FALSE))</f>
        <v/>
      </c>
      <c r="D57" s="6" t="str">
        <f>IF('Ingoing substances'!W57="Yes",'Rinse-off - DID'!B57,"")</f>
        <v/>
      </c>
      <c r="E57" s="15" t="str">
        <f>IF('Ingoing substances'!W57="Yes",'Rinse-off - DID'!G57,"")</f>
        <v/>
      </c>
      <c r="F57" s="7"/>
      <c r="G57" s="7"/>
      <c r="H57" s="15" t="str">
        <f t="shared" si="0"/>
        <v/>
      </c>
      <c r="I57" s="9"/>
    </row>
    <row r="58" spans="1:9">
      <c r="A58" s="5">
        <v>49</v>
      </c>
      <c r="B58" s="6" t="str">
        <f>IF(D58="","",VLOOKUP(D58,'Ingoing substances'!$B$11:$C$59,2,FALSE))</f>
        <v/>
      </c>
      <c r="C58" s="6" t="str">
        <f>IF(D58="","",VLOOKUP(B58,'Product formulation'!$B$9:$C$37,2,FALSE))</f>
        <v/>
      </c>
      <c r="D58" s="6" t="str">
        <f>IF('Ingoing substances'!W58="Yes",'Rinse-off - DID'!B58,"")</f>
        <v/>
      </c>
      <c r="E58" s="15" t="str">
        <f>IF('Ingoing substances'!W58="Yes",'Rinse-off - DID'!G58,"")</f>
        <v/>
      </c>
      <c r="F58" s="7"/>
      <c r="G58" s="7"/>
      <c r="H58" s="15" t="str">
        <f t="shared" si="0"/>
        <v/>
      </c>
      <c r="I58" s="9"/>
    </row>
    <row r="59" spans="1:9">
      <c r="A59" s="5">
        <v>50</v>
      </c>
      <c r="B59" s="6" t="str">
        <f>IF(D59="","",VLOOKUP(D59,'Ingoing substances'!$B$11:$C$59,2,FALSE))</f>
        <v/>
      </c>
      <c r="C59" s="6" t="str">
        <f>IF(D59="","",VLOOKUP(B59,'Product formulation'!$B$9:$C$37,2,FALSE))</f>
        <v/>
      </c>
      <c r="D59" s="6" t="str">
        <f>IF('Ingoing substances'!W59="Yes",'Rinse-off - DID'!B59,"")</f>
        <v/>
      </c>
      <c r="E59" s="15" t="str">
        <f>IF('Ingoing substances'!W59="Yes",'Rinse-off - DID'!G59,"")</f>
        <v/>
      </c>
      <c r="F59" s="7"/>
      <c r="G59" s="7"/>
      <c r="H59" s="15" t="str">
        <f t="shared" si="0"/>
        <v/>
      </c>
      <c r="I59" s="9"/>
    </row>
    <row r="60" spans="1:9">
      <c r="B60" s="200" t="s">
        <v>30</v>
      </c>
      <c r="C60" s="200"/>
      <c r="D60" s="200"/>
      <c r="E60" s="200">
        <f>SUM(E11:E59)</f>
        <v>0</v>
      </c>
      <c r="F60" s="200"/>
      <c r="G60" s="206"/>
      <c r="H60" s="206"/>
      <c r="I60" s="206"/>
    </row>
    <row r="62" spans="1:9">
      <c r="B62" s="1" t="s">
        <v>31</v>
      </c>
    </row>
    <row r="63" spans="1:9">
      <c r="B63" s="304"/>
      <c r="C63" s="305"/>
      <c r="D63" s="305"/>
      <c r="E63" s="305"/>
      <c r="F63" s="305"/>
      <c r="G63" s="305"/>
      <c r="H63" s="305"/>
      <c r="I63" s="306"/>
    </row>
    <row r="64" spans="1:9">
      <c r="B64" s="307"/>
      <c r="C64" s="308"/>
      <c r="D64" s="308"/>
      <c r="E64" s="308"/>
      <c r="F64" s="308"/>
      <c r="G64" s="308"/>
      <c r="H64" s="308"/>
      <c r="I64" s="309"/>
    </row>
    <row r="65" spans="2:9">
      <c r="B65" s="307"/>
      <c r="C65" s="308"/>
      <c r="D65" s="308"/>
      <c r="E65" s="308"/>
      <c r="F65" s="308"/>
      <c r="G65" s="308"/>
      <c r="H65" s="308"/>
      <c r="I65" s="309"/>
    </row>
    <row r="66" spans="2:9">
      <c r="B66" s="310"/>
      <c r="C66" s="311"/>
      <c r="D66" s="311"/>
      <c r="E66" s="311"/>
      <c r="F66" s="311"/>
      <c r="G66" s="311"/>
      <c r="H66" s="311"/>
      <c r="I66" s="312"/>
    </row>
  </sheetData>
  <sheetProtection algorithmName="SHA-512" hashValue="zgtKuAyQ3ixC4MwVc5blJzYzhfVWttWvLdCpuNJJxGLd5HQG2acBL/ge/xxf3aICzffqsNAel65Gus/bnRyIlA==" saltValue="OmQYL1omUxq1+G2O3FfmGg==" spinCount="100000" sheet="1" selectLockedCells="1"/>
  <autoFilter ref="B8:B59" xr:uid="{00000000-0009-0000-0000-000009000000}"/>
  <mergeCells count="10">
    <mergeCell ref="B1:D1"/>
    <mergeCell ref="B63:I66"/>
    <mergeCell ref="D8:D9"/>
    <mergeCell ref="C8:C9"/>
    <mergeCell ref="C2:D2"/>
    <mergeCell ref="C3:D3"/>
    <mergeCell ref="C4:D4"/>
    <mergeCell ref="B8:B9"/>
    <mergeCell ref="I8:I9"/>
    <mergeCell ref="G8:H8"/>
  </mergeCells>
  <conditionalFormatting sqref="I11:I59">
    <cfRule type="expression" dxfId="68" priority="2">
      <formula>ISBLANK(G11)</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361BAC05-3492-4E3D-A342-F859A0413204}">
            <xm:f>'Ingoing substances'!$W11="Yes"</xm:f>
            <x14:dxf>
              <fill>
                <patternFill>
                  <bgColor theme="0" tint="-0.14996795556505021"/>
                </patternFill>
              </fill>
            </x14:dxf>
          </x14:cfRule>
          <xm:sqref>F11:G59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Hoja2!$B$30:$B$32</xm:f>
          </x14:formula1>
          <xm:sqref>G11:G59</xm:sqref>
        </x14:dataValidation>
        <x14:dataValidation type="list" allowBlank="1" showInputMessage="1" showErrorMessage="1" xr:uid="{00000000-0002-0000-0900-000001000000}">
          <x14:formula1>
            <xm:f>Hoja2!$B$41:$B$43</xm:f>
          </x14:formula1>
          <xm:sqref>F11:F59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
  <dimension ref="B1:U187"/>
  <sheetViews>
    <sheetView topLeftCell="A29" zoomScaleNormal="100" workbookViewId="0">
      <selection activeCell="F44" sqref="F44:H44"/>
    </sheetView>
  </sheetViews>
  <sheetFormatPr defaultColWidth="11.44140625" defaultRowHeight="13.2"/>
  <cols>
    <col min="1" max="2" width="3.6640625" style="1" customWidth="1"/>
    <col min="3" max="3" width="3.44140625" style="1" customWidth="1"/>
    <col min="4" max="4" width="20.44140625" style="1" customWidth="1"/>
    <col min="5" max="5" width="13" style="1" customWidth="1"/>
    <col min="6" max="6" width="4.5546875" style="1" customWidth="1"/>
    <col min="7" max="7" width="11.44140625" style="1"/>
    <col min="8" max="8" width="13.109375" style="1" customWidth="1"/>
    <col min="9" max="10" width="11.44140625" style="1"/>
    <col min="11" max="11" width="2.88671875" style="1" customWidth="1"/>
    <col min="12" max="12" width="13.5546875" style="17" hidden="1" customWidth="1"/>
    <col min="13" max="13" width="3.109375" style="1" customWidth="1"/>
    <col min="14" max="14" width="12.33203125" style="1" bestFit="1" customWidth="1"/>
    <col min="15" max="17" width="11.44140625" style="1"/>
    <col min="18" max="18" width="12.44140625" style="20" hidden="1" customWidth="1"/>
    <col min="19" max="19" width="16.33203125" style="86" bestFit="1" customWidth="1"/>
    <col min="20" max="16384" width="11.44140625" style="1"/>
  </cols>
  <sheetData>
    <row r="1" spans="2:19" ht="13.8">
      <c r="L1" s="34"/>
      <c r="M1" s="373" t="s">
        <v>248</v>
      </c>
      <c r="N1" s="373"/>
      <c r="O1" s="373"/>
      <c r="P1" s="373"/>
      <c r="Q1" s="373"/>
      <c r="R1" s="59"/>
      <c r="S1" s="64" t="s">
        <v>253</v>
      </c>
    </row>
    <row r="2" spans="2:19" ht="28.5" customHeight="1">
      <c r="B2" s="377" t="s">
        <v>162</v>
      </c>
      <c r="C2" s="377"/>
      <c r="D2" s="377"/>
      <c r="E2" s="377"/>
      <c r="F2" s="377"/>
      <c r="G2" s="377"/>
      <c r="H2" s="377"/>
      <c r="I2" s="377"/>
      <c r="J2" s="377"/>
      <c r="K2" s="377"/>
      <c r="L2" s="377"/>
      <c r="M2" s="378"/>
      <c r="N2" s="378"/>
      <c r="O2" s="378"/>
      <c r="P2" s="378"/>
      <c r="Q2" s="378"/>
      <c r="R2" s="18"/>
      <c r="S2" s="58" t="str">
        <f>IF(AND(S3="a",S7="a"),"Compliant","Not Compliant")</f>
        <v>Not Compliant</v>
      </c>
    </row>
    <row r="3" spans="2:19" ht="14.25" customHeight="1">
      <c r="B3" s="36"/>
      <c r="C3" s="37" t="s">
        <v>177</v>
      </c>
      <c r="D3" s="37"/>
      <c r="E3" s="37"/>
      <c r="F3" s="37"/>
      <c r="G3" s="37"/>
      <c r="H3" s="37"/>
      <c r="I3" s="37"/>
      <c r="J3" s="37"/>
      <c r="K3" s="37"/>
      <c r="L3" s="180" t="str">
        <f>IF(E5&lt;=E6,"Ok","No Ok")</f>
        <v>Ok</v>
      </c>
      <c r="M3" s="28"/>
      <c r="N3" s="384" t="str">
        <f>IF(L8=FALSE,"Documentation associated to the calculation of the values of DF and TF chronic","")</f>
        <v>Documentation associated to the calculation of the values of DF and TF chronic</v>
      </c>
      <c r="O3" s="384"/>
      <c r="P3" s="384"/>
      <c r="Q3" s="385"/>
      <c r="R3" s="19"/>
      <c r="S3" s="360" t="str">
        <f>IF(L5=TRUE,(IF(L3="Ok","a")),"r")</f>
        <v>a</v>
      </c>
    </row>
    <row r="4" spans="2:19" ht="6" customHeight="1">
      <c r="B4" s="38"/>
      <c r="C4" s="17"/>
      <c r="D4" s="17"/>
      <c r="E4" s="17"/>
      <c r="F4" s="17"/>
      <c r="G4" s="17"/>
      <c r="H4" s="17"/>
      <c r="I4" s="17"/>
      <c r="J4" s="17"/>
      <c r="K4" s="17"/>
      <c r="L4" s="181"/>
      <c r="M4" s="24"/>
      <c r="N4" s="374"/>
      <c r="O4" s="374"/>
      <c r="P4" s="374"/>
      <c r="Q4" s="386"/>
      <c r="S4" s="361"/>
    </row>
    <row r="5" spans="2:19" s="11" customFormat="1" ht="23.25" customHeight="1">
      <c r="B5" s="39"/>
      <c r="C5" s="375" t="s">
        <v>178</v>
      </c>
      <c r="D5" s="375"/>
      <c r="E5" s="174">
        <f>'Results 1&amp;2'!F60</f>
        <v>0</v>
      </c>
      <c r="F5" s="177"/>
      <c r="G5" s="177"/>
      <c r="H5" s="177"/>
      <c r="I5" s="177"/>
      <c r="J5" s="177"/>
      <c r="K5" s="177"/>
      <c r="L5" s="182" t="b">
        <v>1</v>
      </c>
      <c r="M5" s="29"/>
      <c r="N5" s="374"/>
      <c r="O5" s="374"/>
      <c r="P5" s="374"/>
      <c r="Q5" s="386"/>
      <c r="R5" s="21"/>
      <c r="S5" s="361"/>
    </row>
    <row r="6" spans="2:19" s="11" customFormat="1" ht="23.25" customHeight="1">
      <c r="B6" s="39"/>
      <c r="C6" s="375" t="s">
        <v>179</v>
      </c>
      <c r="D6" s="375"/>
      <c r="E6" s="175" t="str">
        <f>IF('Product formulation'!C4="","-",VLOOKUP('Product formulation'!C4,Hoja2!$B$3:$E$13,2,FALSE))</f>
        <v>-</v>
      </c>
      <c r="F6" s="177"/>
      <c r="G6" s="177"/>
      <c r="H6" s="177"/>
      <c r="I6" s="177"/>
      <c r="J6" s="177"/>
      <c r="K6" s="177"/>
      <c r="L6" s="183"/>
      <c r="M6" s="30"/>
      <c r="Q6" s="31"/>
      <c r="R6" s="21"/>
      <c r="S6" s="361"/>
    </row>
    <row r="7" spans="2:19" ht="6" customHeight="1">
      <c r="B7" s="38"/>
      <c r="C7" s="17"/>
      <c r="D7" s="17"/>
      <c r="E7" s="17"/>
      <c r="F7" s="17"/>
      <c r="G7" s="17"/>
      <c r="H7" s="17"/>
      <c r="I7" s="17"/>
      <c r="J7" s="17"/>
      <c r="K7" s="17"/>
      <c r="L7" s="181"/>
      <c r="M7" s="24"/>
      <c r="Q7" s="32"/>
      <c r="S7" s="360" t="str">
        <f>IF(L8=TRUE,"a",(IF(R8=TRUE,"a","r")))</f>
        <v>r</v>
      </c>
    </row>
    <row r="8" spans="2:19">
      <c r="B8" s="38"/>
      <c r="C8" s="17" t="s">
        <v>180</v>
      </c>
      <c r="D8" s="17"/>
      <c r="E8" s="17"/>
      <c r="F8" s="17"/>
      <c r="G8" s="17"/>
      <c r="H8" s="17"/>
      <c r="I8" s="17"/>
      <c r="J8" s="17"/>
      <c r="K8" s="17"/>
      <c r="L8" s="181" t="b">
        <v>0</v>
      </c>
      <c r="M8" s="24"/>
      <c r="N8" s="354"/>
      <c r="O8" s="354"/>
      <c r="P8" s="354"/>
      <c r="Q8" s="388"/>
      <c r="R8" s="186" t="b">
        <v>0</v>
      </c>
      <c r="S8" s="361"/>
    </row>
    <row r="9" spans="2:19" ht="6" customHeight="1">
      <c r="B9" s="40"/>
      <c r="C9" s="41"/>
      <c r="D9" s="41"/>
      <c r="E9" s="41"/>
      <c r="F9" s="41"/>
      <c r="G9" s="41"/>
      <c r="H9" s="41"/>
      <c r="I9" s="41"/>
      <c r="J9" s="41"/>
      <c r="K9" s="41"/>
      <c r="L9" s="41"/>
      <c r="M9" s="33"/>
      <c r="N9" s="389"/>
      <c r="O9" s="389"/>
      <c r="P9" s="389"/>
      <c r="Q9" s="390"/>
      <c r="R9" s="22"/>
      <c r="S9" s="362"/>
    </row>
    <row r="10" spans="2:19" ht="14.4">
      <c r="L10" s="1"/>
      <c r="N10" s="25"/>
      <c r="O10" s="25"/>
      <c r="P10" s="25"/>
      <c r="Q10" s="25"/>
      <c r="R10" s="2"/>
      <c r="S10" s="27"/>
    </row>
    <row r="11" spans="2:19" ht="27" customHeight="1">
      <c r="B11" s="377" t="s">
        <v>163</v>
      </c>
      <c r="C11" s="377"/>
      <c r="D11" s="377"/>
      <c r="E11" s="377"/>
      <c r="F11" s="377"/>
      <c r="G11" s="377"/>
      <c r="H11" s="377"/>
      <c r="I11" s="377"/>
      <c r="J11" s="377"/>
      <c r="K11" s="377"/>
      <c r="L11" s="377"/>
      <c r="M11" s="379"/>
      <c r="N11" s="379"/>
      <c r="O11" s="379"/>
      <c r="P11" s="379"/>
      <c r="Q11" s="379"/>
      <c r="R11" s="377"/>
      <c r="S11" s="377"/>
    </row>
    <row r="12" spans="2:19" ht="15">
      <c r="B12" s="42" t="s">
        <v>164</v>
      </c>
      <c r="C12" s="43" t="s">
        <v>181</v>
      </c>
      <c r="D12" s="44"/>
      <c r="E12" s="44"/>
      <c r="F12" s="44"/>
      <c r="G12" s="44"/>
      <c r="H12" s="44"/>
      <c r="I12" s="44"/>
      <c r="J12" s="45"/>
      <c r="K12" s="46"/>
      <c r="L12" s="37"/>
      <c r="M12" s="50"/>
      <c r="N12" s="51"/>
      <c r="O12" s="51"/>
      <c r="P12" s="51"/>
      <c r="Q12" s="52"/>
      <c r="R12" s="47"/>
      <c r="S12" s="63" t="str">
        <f>IF(S18="Does not apply","Does not apply",IF(S13="a","Compliant","Not Compliant"))</f>
        <v>Not Compliant</v>
      </c>
    </row>
    <row r="13" spans="2:19" ht="12.75" customHeight="1">
      <c r="B13" s="38"/>
      <c r="C13" s="376" t="s">
        <v>182</v>
      </c>
      <c r="D13" s="376"/>
      <c r="E13" s="376"/>
      <c r="F13" s="376"/>
      <c r="G13" s="376"/>
      <c r="H13" s="376"/>
      <c r="I13" s="376"/>
      <c r="J13" s="376"/>
      <c r="K13" s="176"/>
      <c r="L13" s="181" t="b">
        <v>0</v>
      </c>
      <c r="M13" s="24"/>
      <c r="N13" s="363"/>
      <c r="O13" s="363"/>
      <c r="P13" s="363"/>
      <c r="Q13" s="400"/>
      <c r="R13" s="19"/>
      <c r="S13" s="360" t="str">
        <f>IF(L13=TRUE,(IF(AND(L16="ok",L17="ok"),"a","r")),"")</f>
        <v/>
      </c>
    </row>
    <row r="14" spans="2:19" ht="12.75" customHeight="1">
      <c r="B14" s="38"/>
      <c r="C14" s="376"/>
      <c r="D14" s="376"/>
      <c r="E14" s="376"/>
      <c r="F14" s="376"/>
      <c r="G14" s="376"/>
      <c r="H14" s="376"/>
      <c r="I14" s="376"/>
      <c r="J14" s="376"/>
      <c r="K14" s="176"/>
      <c r="L14" s="181"/>
      <c r="M14" s="24"/>
      <c r="N14" s="363"/>
      <c r="O14" s="363"/>
      <c r="P14" s="363"/>
      <c r="Q14" s="400"/>
      <c r="S14" s="361"/>
    </row>
    <row r="15" spans="2:19" ht="6.6" customHeight="1">
      <c r="B15" s="38"/>
      <c r="C15" s="176"/>
      <c r="D15" s="176"/>
      <c r="E15" s="176"/>
      <c r="F15" s="176"/>
      <c r="G15" s="176"/>
      <c r="H15" s="176"/>
      <c r="I15" s="176"/>
      <c r="J15" s="176"/>
      <c r="K15" s="176"/>
      <c r="L15" s="181"/>
      <c r="M15" s="24"/>
      <c r="Q15" s="32"/>
      <c r="S15" s="361"/>
    </row>
    <row r="16" spans="2:19" ht="25.5" customHeight="1">
      <c r="B16" s="38"/>
      <c r="C16" s="375" t="s">
        <v>183</v>
      </c>
      <c r="D16" s="375"/>
      <c r="E16" s="174">
        <f>'Results 1&amp;2'!G60</f>
        <v>0</v>
      </c>
      <c r="F16" s="177"/>
      <c r="G16" s="375" t="s">
        <v>244</v>
      </c>
      <c r="H16" s="375"/>
      <c r="I16" s="174">
        <f>'Results 1&amp;2'!H60</f>
        <v>0</v>
      </c>
      <c r="J16" s="177"/>
      <c r="K16" s="178"/>
      <c r="L16" s="184" t="str">
        <f>IF(E16=0,"Ok","No Ok")</f>
        <v>Ok</v>
      </c>
      <c r="M16" s="29"/>
      <c r="N16" s="372"/>
      <c r="O16" s="372"/>
      <c r="P16" s="372"/>
      <c r="Q16" s="401"/>
      <c r="S16" s="361"/>
    </row>
    <row r="17" spans="2:19" ht="25.5" customHeight="1">
      <c r="B17" s="38"/>
      <c r="C17" s="375" t="s">
        <v>184</v>
      </c>
      <c r="D17" s="375"/>
      <c r="E17" s="175">
        <v>0</v>
      </c>
      <c r="F17" s="177"/>
      <c r="G17" s="375" t="s">
        <v>245</v>
      </c>
      <c r="H17" s="375"/>
      <c r="I17" s="175">
        <v>0</v>
      </c>
      <c r="J17" s="177"/>
      <c r="K17" s="179"/>
      <c r="L17" s="184" t="str">
        <f>IF(I16=0,"Ok","No Ok")</f>
        <v>Ok</v>
      </c>
      <c r="M17" s="29"/>
      <c r="Q17" s="32"/>
      <c r="S17" s="361"/>
    </row>
    <row r="18" spans="2:19" ht="6.6" customHeight="1">
      <c r="B18" s="38"/>
      <c r="C18" s="176"/>
      <c r="D18" s="176"/>
      <c r="E18" s="176"/>
      <c r="F18" s="176"/>
      <c r="G18" s="176"/>
      <c r="H18" s="176"/>
      <c r="I18" s="176"/>
      <c r="J18" s="176"/>
      <c r="K18" s="176"/>
      <c r="L18" s="181"/>
      <c r="M18" s="24"/>
      <c r="Q18" s="32"/>
      <c r="S18" s="369" t="str">
        <f>IF(L19=TRUE,"Does not apply","-")</f>
        <v>-</v>
      </c>
    </row>
    <row r="19" spans="2:19">
      <c r="B19" s="38"/>
      <c r="C19" s="17" t="s">
        <v>185</v>
      </c>
      <c r="D19" s="17"/>
      <c r="E19" s="17"/>
      <c r="F19" s="17"/>
      <c r="G19" s="17"/>
      <c r="H19" s="17"/>
      <c r="I19" s="17"/>
      <c r="J19" s="17"/>
      <c r="K19" s="17"/>
      <c r="L19" s="181" t="b">
        <v>0</v>
      </c>
      <c r="M19" s="24"/>
      <c r="Q19" s="32"/>
      <c r="S19" s="370"/>
    </row>
    <row r="20" spans="2:19" ht="6.6" customHeight="1">
      <c r="B20" s="38"/>
      <c r="C20" s="17"/>
      <c r="D20" s="17"/>
      <c r="E20" s="17"/>
      <c r="F20" s="17"/>
      <c r="G20" s="17"/>
      <c r="H20" s="17"/>
      <c r="I20" s="17"/>
      <c r="J20" s="17"/>
      <c r="K20" s="17"/>
      <c r="L20" s="181"/>
      <c r="M20" s="24"/>
      <c r="Q20" s="32"/>
      <c r="R20" s="23"/>
      <c r="S20" s="371"/>
    </row>
    <row r="21" spans="2:19" ht="15">
      <c r="B21" s="49" t="s">
        <v>165</v>
      </c>
      <c r="C21" s="13" t="s">
        <v>186</v>
      </c>
      <c r="D21" s="12"/>
      <c r="E21" s="12"/>
      <c r="F21" s="12"/>
      <c r="G21" s="12"/>
      <c r="H21" s="12"/>
      <c r="I21" s="12"/>
      <c r="J21" s="14"/>
      <c r="K21" s="14"/>
      <c r="L21" s="181"/>
      <c r="M21" s="53"/>
      <c r="N21" s="54"/>
      <c r="Q21" s="32"/>
      <c r="S21" s="83" t="str">
        <f>IF(AND(S30="",S22="a",S27="a"),"Compliant",IF(AND(S22="a",S27="a",S30="a"),"Compliant","Not Compliant"))</f>
        <v>Not Compliant</v>
      </c>
    </row>
    <row r="22" spans="2:19" ht="13.5" customHeight="1">
      <c r="B22" s="38"/>
      <c r="C22" s="376" t="s">
        <v>187</v>
      </c>
      <c r="D22" s="376"/>
      <c r="E22" s="376"/>
      <c r="F22" s="376"/>
      <c r="G22" s="376"/>
      <c r="H22" s="376"/>
      <c r="I22" s="376"/>
      <c r="J22" s="376"/>
      <c r="K22" s="176"/>
      <c r="L22" s="181" t="b">
        <v>0</v>
      </c>
      <c r="M22" s="24"/>
      <c r="N22" s="358" t="str">
        <f>IF(L28=FALSE,"Documentation associated to the calculation of the values of biodegradability","")</f>
        <v>Documentation associated to the calculation of the values of biodegradability</v>
      </c>
      <c r="O22" s="358"/>
      <c r="P22" s="358"/>
      <c r="Q22" s="359"/>
      <c r="R22" s="19"/>
      <c r="S22" s="360" t="str">
        <f>IF(L22=TRUE,(IF(AND(L25="ok",L26="ok"),"a","r")),"")</f>
        <v/>
      </c>
    </row>
    <row r="23" spans="2:19" ht="12.75" customHeight="1">
      <c r="B23" s="38"/>
      <c r="C23" s="376"/>
      <c r="D23" s="376"/>
      <c r="E23" s="376"/>
      <c r="F23" s="376"/>
      <c r="G23" s="376"/>
      <c r="H23" s="376"/>
      <c r="I23" s="376"/>
      <c r="J23" s="376"/>
      <c r="K23" s="176"/>
      <c r="L23" s="181"/>
      <c r="M23" s="24"/>
      <c r="N23" s="358"/>
      <c r="O23" s="358"/>
      <c r="P23" s="358"/>
      <c r="Q23" s="359"/>
      <c r="S23" s="361"/>
    </row>
    <row r="24" spans="2:19" ht="6.6" customHeight="1">
      <c r="B24" s="38"/>
      <c r="C24" s="17"/>
      <c r="D24" s="17"/>
      <c r="E24" s="17"/>
      <c r="F24" s="17"/>
      <c r="G24" s="17"/>
      <c r="H24" s="17"/>
      <c r="I24" s="17"/>
      <c r="J24" s="17"/>
      <c r="K24" s="17"/>
      <c r="L24" s="181"/>
      <c r="M24" s="24"/>
      <c r="N24" s="358"/>
      <c r="O24" s="358"/>
      <c r="P24" s="358"/>
      <c r="Q24" s="359"/>
      <c r="S24" s="361"/>
    </row>
    <row r="25" spans="2:19" ht="25.5" customHeight="1">
      <c r="B25" s="38"/>
      <c r="C25" s="375" t="s">
        <v>183</v>
      </c>
      <c r="D25" s="375"/>
      <c r="E25" s="174">
        <f>'Results 1&amp;2'!I60</f>
        <v>0</v>
      </c>
      <c r="F25" s="177"/>
      <c r="G25" s="375" t="s">
        <v>244</v>
      </c>
      <c r="H25" s="375"/>
      <c r="I25" s="174">
        <f>'Results 1&amp;2'!J60</f>
        <v>0</v>
      </c>
      <c r="J25" s="177"/>
      <c r="K25" s="178"/>
      <c r="L25" s="184" t="str">
        <f>IF(E25&lt;=E26,"Ok","No Ok")</f>
        <v>Ok</v>
      </c>
      <c r="M25" s="29"/>
      <c r="N25" s="374" t="str">
        <f>IF(L30=TRUE,"If readily degradable value of BCF or LogKow, Test for anaerobic biodegradability or Test for adsorption/desorption","")</f>
        <v/>
      </c>
      <c r="O25" s="374"/>
      <c r="P25" s="374"/>
      <c r="Q25" s="386"/>
      <c r="S25" s="361"/>
    </row>
    <row r="26" spans="2:19" ht="25.5" customHeight="1">
      <c r="B26" s="38"/>
      <c r="C26" s="375" t="s">
        <v>184</v>
      </c>
      <c r="D26" s="375"/>
      <c r="E26" s="175" t="str">
        <f>IF('Product formulation'!C4="","-",VLOOKUP('Product formulation'!C4,Hoja2!$B$3:$E$13,3,FALSE))</f>
        <v>-</v>
      </c>
      <c r="F26" s="177"/>
      <c r="G26" s="375" t="s">
        <v>245</v>
      </c>
      <c r="H26" s="375"/>
      <c r="I26" s="175" t="str">
        <f>IF('Product formulation'!C4="","-",VLOOKUP('Product formulation'!C4,Hoja2!$B$3:$E$13,4,FALSE))</f>
        <v>-</v>
      </c>
      <c r="J26" s="177"/>
      <c r="K26" s="179"/>
      <c r="L26" s="184" t="str">
        <f>IF(I25&lt;=I26,"Ok","No Ok")</f>
        <v>Ok</v>
      </c>
      <c r="M26" s="29"/>
      <c r="N26" s="374"/>
      <c r="O26" s="374"/>
      <c r="P26" s="374"/>
      <c r="Q26" s="386"/>
      <c r="S26" s="361"/>
    </row>
    <row r="27" spans="2:19" ht="6.6" customHeight="1">
      <c r="B27" s="38"/>
      <c r="C27" s="17"/>
      <c r="D27" s="17"/>
      <c r="E27" s="17"/>
      <c r="F27" s="17"/>
      <c r="G27" s="17"/>
      <c r="H27" s="17"/>
      <c r="I27" s="17"/>
      <c r="J27" s="17"/>
      <c r="K27" s="17"/>
      <c r="L27" s="181"/>
      <c r="M27" s="24"/>
      <c r="Q27" s="32"/>
      <c r="S27" s="360" t="str">
        <f>IF(L28=TRUE,"a",(IF(R28=TRUE,"a","r")))</f>
        <v>r</v>
      </c>
    </row>
    <row r="28" spans="2:19" ht="14.25" customHeight="1">
      <c r="B28" s="38"/>
      <c r="C28" s="17" t="s">
        <v>180</v>
      </c>
      <c r="D28" s="17"/>
      <c r="E28" s="17"/>
      <c r="F28" s="17"/>
      <c r="G28" s="17"/>
      <c r="H28" s="17"/>
      <c r="I28" s="17"/>
      <c r="J28" s="17"/>
      <c r="K28" s="17"/>
      <c r="L28" s="181" t="b">
        <v>0</v>
      </c>
      <c r="M28" s="24"/>
      <c r="N28" s="354"/>
      <c r="O28" s="354"/>
      <c r="P28" s="354"/>
      <c r="Q28" s="388"/>
      <c r="R28" s="186" t="b">
        <v>0</v>
      </c>
      <c r="S28" s="361"/>
    </row>
    <row r="29" spans="2:19" ht="6.6" customHeight="1">
      <c r="B29" s="38"/>
      <c r="C29" s="17"/>
      <c r="D29" s="17"/>
      <c r="E29" s="17"/>
      <c r="F29" s="17"/>
      <c r="G29" s="17"/>
      <c r="H29" s="17"/>
      <c r="I29" s="17"/>
      <c r="J29" s="17"/>
      <c r="K29" s="17"/>
      <c r="L29" s="181"/>
      <c r="M29" s="24"/>
      <c r="N29" s="354"/>
      <c r="O29" s="354"/>
      <c r="P29" s="354"/>
      <c r="Q29" s="388"/>
      <c r="R29" s="186"/>
      <c r="S29" s="362"/>
    </row>
    <row r="30" spans="2:19">
      <c r="B30" s="38"/>
      <c r="C30" s="17" t="s">
        <v>188</v>
      </c>
      <c r="D30" s="17"/>
      <c r="E30" s="17"/>
      <c r="F30" s="17"/>
      <c r="G30" s="17"/>
      <c r="H30" s="17"/>
      <c r="I30" s="17"/>
      <c r="J30" s="17"/>
      <c r="K30" s="17"/>
      <c r="L30" s="181" t="b">
        <v>0</v>
      </c>
      <c r="M30" s="24"/>
      <c r="N30" s="354"/>
      <c r="O30" s="354"/>
      <c r="P30" s="354"/>
      <c r="Q30" s="388"/>
      <c r="R30" s="186" t="b">
        <v>0</v>
      </c>
      <c r="S30" s="360" t="str">
        <f>IF(N30="","",IF(L30=FALSE,"a",(IF(R30=TRUE,"a","r"))))</f>
        <v/>
      </c>
    </row>
    <row r="31" spans="2:19" ht="6.6" customHeight="1">
      <c r="B31" s="40"/>
      <c r="C31" s="41"/>
      <c r="D31" s="41"/>
      <c r="E31" s="41"/>
      <c r="F31" s="41"/>
      <c r="G31" s="41"/>
      <c r="H31" s="41"/>
      <c r="I31" s="41"/>
      <c r="J31" s="41"/>
      <c r="K31" s="41"/>
      <c r="L31" s="41"/>
      <c r="M31" s="33"/>
      <c r="N31" s="389"/>
      <c r="O31" s="389"/>
      <c r="P31" s="389"/>
      <c r="Q31" s="390"/>
      <c r="R31" s="23"/>
      <c r="S31" s="362"/>
    </row>
    <row r="32" spans="2:19" ht="14.4">
      <c r="M32" s="24"/>
      <c r="N32" s="25"/>
      <c r="O32" s="25"/>
      <c r="P32" s="25"/>
      <c r="Q32" s="25"/>
      <c r="R32" s="56"/>
      <c r="S32" s="26"/>
    </row>
    <row r="33" spans="2:21" ht="27" customHeight="1">
      <c r="B33" s="377" t="s">
        <v>166</v>
      </c>
      <c r="C33" s="377"/>
      <c r="D33" s="377"/>
      <c r="E33" s="377"/>
      <c r="F33" s="377"/>
      <c r="G33" s="377"/>
      <c r="H33" s="377"/>
      <c r="I33" s="377"/>
      <c r="J33" s="377"/>
      <c r="K33" s="377"/>
      <c r="L33" s="377"/>
      <c r="M33" s="377"/>
      <c r="N33" s="377"/>
      <c r="O33" s="377"/>
      <c r="P33" s="377"/>
      <c r="Q33" s="377"/>
      <c r="R33" s="377"/>
      <c r="S33" s="377"/>
    </row>
    <row r="34" spans="2:21" ht="15">
      <c r="B34" s="35" t="s">
        <v>164</v>
      </c>
      <c r="C34" s="13" t="s">
        <v>189</v>
      </c>
      <c r="D34" s="12"/>
      <c r="E34" s="12"/>
      <c r="F34" s="12"/>
      <c r="G34" s="12"/>
      <c r="H34" s="12"/>
      <c r="I34" s="12"/>
      <c r="J34" s="14"/>
      <c r="K34" s="14"/>
      <c r="M34" s="24"/>
      <c r="R34" s="56"/>
      <c r="S34" s="63" t="str">
        <f>IF(AND(S35="Compliant",S54="Compliant",S66="Compliant",S80="Compliant",S86="Compliant",OR(S92="Compliant",S92="Does not apply"),OR(S103="Compliant",S103="Does not apply"),OR(S123="Compliant",S123="Does not apply")),"Complaint","Not Compliant")</f>
        <v>Not Compliant</v>
      </c>
    </row>
    <row r="35" spans="2:21">
      <c r="B35" s="76" t="s">
        <v>167</v>
      </c>
      <c r="C35" s="77" t="s">
        <v>190</v>
      </c>
      <c r="D35" s="91"/>
      <c r="E35" s="91"/>
      <c r="F35" s="91"/>
      <c r="G35" s="91"/>
      <c r="H35" s="91"/>
      <c r="I35" s="91"/>
      <c r="J35" s="37"/>
      <c r="K35" s="87"/>
      <c r="L35" s="181"/>
      <c r="M35" s="24"/>
      <c r="R35" s="56"/>
      <c r="S35" s="63" t="str">
        <f>IF(AND(S36="a",S39="y",S47="y"),"Compliant",(IF(AND(S36="a",S39="a",S47="y"),"Compliant",(IF(AND(S36="a",S39="a",S47="a"),"Compliant","Not Compliant")))))</f>
        <v>Not Compliant</v>
      </c>
    </row>
    <row r="36" spans="2:21" ht="12.75" customHeight="1">
      <c r="B36" s="38"/>
      <c r="C36" s="380" t="s">
        <v>191</v>
      </c>
      <c r="D36" s="380"/>
      <c r="E36" s="380"/>
      <c r="F36" s="380"/>
      <c r="G36" s="380"/>
      <c r="H36" s="380"/>
      <c r="I36" s="380"/>
      <c r="J36" s="380"/>
      <c r="K36" s="88"/>
      <c r="L36" s="181" t="b">
        <v>0</v>
      </c>
      <c r="M36" s="24"/>
      <c r="N36" s="1" t="s">
        <v>249</v>
      </c>
      <c r="R36" s="185" t="b">
        <v>1</v>
      </c>
      <c r="S36" s="402" t="str">
        <f>IF(AND(L36=TRUE,R36=TRUE,R39=TRUE),"a","r")</f>
        <v>r</v>
      </c>
    </row>
    <row r="37" spans="2:21">
      <c r="B37" s="38"/>
      <c r="C37" s="380"/>
      <c r="D37" s="380"/>
      <c r="E37" s="380"/>
      <c r="F37" s="380"/>
      <c r="G37" s="380"/>
      <c r="H37" s="380"/>
      <c r="I37" s="380"/>
      <c r="J37" s="380"/>
      <c r="K37" s="88"/>
      <c r="L37" s="181"/>
      <c r="M37" s="24"/>
      <c r="R37" s="185"/>
      <c r="S37" s="402"/>
    </row>
    <row r="38" spans="2:21" ht="6" customHeight="1">
      <c r="B38" s="38"/>
      <c r="C38" s="17"/>
      <c r="D38" s="17"/>
      <c r="E38" s="17"/>
      <c r="F38" s="17"/>
      <c r="G38" s="17"/>
      <c r="H38" s="17"/>
      <c r="I38" s="17"/>
      <c r="J38" s="17"/>
      <c r="K38" s="88"/>
      <c r="L38" s="181"/>
      <c r="M38" s="24"/>
      <c r="R38" s="185"/>
      <c r="S38" s="402"/>
    </row>
    <row r="39" spans="2:21">
      <c r="B39" s="38"/>
      <c r="C39" s="17" t="s">
        <v>192</v>
      </c>
      <c r="D39" s="17"/>
      <c r="E39" s="17"/>
      <c r="F39" s="17"/>
      <c r="G39" s="17"/>
      <c r="H39" s="17"/>
      <c r="I39" s="17"/>
      <c r="J39" s="17"/>
      <c r="K39" s="88"/>
      <c r="L39" s="181" t="b">
        <v>0</v>
      </c>
      <c r="M39" s="24"/>
      <c r="N39" s="1" t="s">
        <v>250</v>
      </c>
      <c r="R39" s="185" t="b">
        <v>1</v>
      </c>
      <c r="S39" s="402" t="str">
        <f>IF(L39=TRUE,"a","y")</f>
        <v>y</v>
      </c>
    </row>
    <row r="40" spans="2:21" ht="6" customHeight="1">
      <c r="B40" s="38"/>
      <c r="C40" s="17"/>
      <c r="D40" s="17"/>
      <c r="E40" s="17"/>
      <c r="F40" s="17"/>
      <c r="G40" s="17"/>
      <c r="H40" s="17"/>
      <c r="I40" s="17"/>
      <c r="J40" s="17"/>
      <c r="K40" s="88"/>
      <c r="L40" s="181"/>
      <c r="M40" s="24"/>
      <c r="R40" s="185"/>
      <c r="S40" s="402"/>
    </row>
    <row r="41" spans="2:21" ht="26.4">
      <c r="B41" s="38"/>
      <c r="C41" s="17"/>
      <c r="D41" s="65" t="s">
        <v>228</v>
      </c>
      <c r="E41" s="66" t="s">
        <v>40</v>
      </c>
      <c r="F41" s="387" t="s">
        <v>242</v>
      </c>
      <c r="G41" s="387"/>
      <c r="H41" s="387"/>
      <c r="I41" s="393" t="s">
        <v>247</v>
      </c>
      <c r="J41" s="393"/>
      <c r="K41" s="88"/>
      <c r="L41" s="181"/>
      <c r="M41" s="24"/>
      <c r="R41" s="56"/>
      <c r="S41" s="402"/>
      <c r="U41" s="75"/>
    </row>
    <row r="42" spans="2:21" ht="15.75" customHeight="1">
      <c r="B42" s="38"/>
      <c r="C42" s="17"/>
      <c r="D42" s="397" t="s">
        <v>229</v>
      </c>
      <c r="E42" s="394" t="s">
        <v>239</v>
      </c>
      <c r="F42" s="381"/>
      <c r="G42" s="382"/>
      <c r="H42" s="383"/>
      <c r="I42" s="381"/>
      <c r="J42" s="383"/>
      <c r="K42" s="88"/>
      <c r="L42" s="181"/>
      <c r="M42" s="24"/>
      <c r="R42" s="56"/>
      <c r="S42" s="402"/>
    </row>
    <row r="43" spans="2:21" ht="15.75" customHeight="1">
      <c r="B43" s="38"/>
      <c r="C43" s="17"/>
      <c r="D43" s="398"/>
      <c r="E43" s="395"/>
      <c r="F43" s="381"/>
      <c r="G43" s="382"/>
      <c r="H43" s="383"/>
      <c r="I43" s="381"/>
      <c r="J43" s="383"/>
      <c r="K43" s="88"/>
      <c r="L43" s="181"/>
      <c r="M43" s="24"/>
      <c r="R43" s="56"/>
      <c r="S43" s="402"/>
    </row>
    <row r="44" spans="2:21" ht="15.75" customHeight="1">
      <c r="B44" s="38"/>
      <c r="C44" s="17"/>
      <c r="D44" s="399"/>
      <c r="E44" s="396"/>
      <c r="F44" s="381"/>
      <c r="G44" s="382"/>
      <c r="H44" s="383"/>
      <c r="I44" s="381"/>
      <c r="J44" s="383"/>
      <c r="K44" s="88"/>
      <c r="L44" s="181"/>
      <c r="M44" s="24"/>
      <c r="R44" s="56"/>
      <c r="S44" s="402"/>
    </row>
    <row r="45" spans="2:21" ht="15.75" customHeight="1">
      <c r="B45" s="38"/>
      <c r="C45" s="17"/>
      <c r="D45" s="67" t="s">
        <v>230</v>
      </c>
      <c r="E45" s="68" t="s">
        <v>240</v>
      </c>
      <c r="F45" s="381"/>
      <c r="G45" s="382"/>
      <c r="H45" s="383"/>
      <c r="I45" s="381"/>
      <c r="J45" s="383"/>
      <c r="K45" s="88"/>
      <c r="L45" s="181"/>
      <c r="M45" s="24"/>
      <c r="R45" s="56"/>
      <c r="S45" s="402"/>
    </row>
    <row r="46" spans="2:21" ht="6" customHeight="1">
      <c r="B46" s="38"/>
      <c r="C46" s="17"/>
      <c r="D46" s="17"/>
      <c r="E46" s="17"/>
      <c r="F46" s="17"/>
      <c r="G46" s="17"/>
      <c r="H46" s="17"/>
      <c r="I46" s="17"/>
      <c r="J46" s="17"/>
      <c r="K46" s="88"/>
      <c r="L46" s="181"/>
      <c r="M46" s="24"/>
      <c r="R46" s="56"/>
      <c r="S46" s="402"/>
    </row>
    <row r="47" spans="2:21">
      <c r="B47" s="38"/>
      <c r="C47" s="17" t="s">
        <v>193</v>
      </c>
      <c r="D47" s="17"/>
      <c r="E47" s="17"/>
      <c r="F47" s="17"/>
      <c r="G47" s="17"/>
      <c r="H47" s="17"/>
      <c r="I47" s="17"/>
      <c r="J47" s="17"/>
      <c r="K47" s="88"/>
      <c r="L47" s="181" t="b">
        <v>0</v>
      </c>
      <c r="M47" s="24"/>
      <c r="R47" s="56"/>
      <c r="S47" s="402" t="str">
        <f>IF(L47=TRUE,"a","y")</f>
        <v>y</v>
      </c>
    </row>
    <row r="48" spans="2:21" ht="6" customHeight="1">
      <c r="B48" s="38"/>
      <c r="C48" s="17"/>
      <c r="D48" s="17"/>
      <c r="E48" s="17"/>
      <c r="F48" s="17"/>
      <c r="G48" s="17"/>
      <c r="H48" s="17"/>
      <c r="I48" s="17"/>
      <c r="J48" s="17"/>
      <c r="K48" s="88"/>
      <c r="L48" s="181"/>
      <c r="M48" s="24"/>
      <c r="R48" s="56"/>
      <c r="S48" s="402"/>
    </row>
    <row r="49" spans="2:19" ht="27" customHeight="1">
      <c r="B49" s="38"/>
      <c r="C49" s="17"/>
      <c r="D49" s="391" t="s">
        <v>228</v>
      </c>
      <c r="E49" s="392"/>
      <c r="F49" s="387" t="s">
        <v>242</v>
      </c>
      <c r="G49" s="387"/>
      <c r="H49" s="387"/>
      <c r="I49" s="393" t="s">
        <v>247</v>
      </c>
      <c r="J49" s="393"/>
      <c r="K49" s="88"/>
      <c r="L49" s="181"/>
      <c r="M49" s="24"/>
      <c r="R49" s="56"/>
      <c r="S49" s="402"/>
    </row>
    <row r="50" spans="2:19" ht="52.5" customHeight="1">
      <c r="B50" s="38"/>
      <c r="C50" s="17"/>
      <c r="D50" s="405" t="s">
        <v>231</v>
      </c>
      <c r="E50" s="406"/>
      <c r="F50" s="381"/>
      <c r="G50" s="382"/>
      <c r="H50" s="383"/>
      <c r="I50" s="381"/>
      <c r="J50" s="383"/>
      <c r="K50" s="88"/>
      <c r="L50" s="181"/>
      <c r="M50" s="24"/>
      <c r="R50" s="56"/>
      <c r="S50" s="402"/>
    </row>
    <row r="51" spans="2:19" ht="15.75" customHeight="1">
      <c r="B51" s="38"/>
      <c r="C51" s="17"/>
      <c r="D51" s="405" t="s">
        <v>232</v>
      </c>
      <c r="E51" s="406"/>
      <c r="F51" s="381"/>
      <c r="G51" s="382"/>
      <c r="H51" s="383"/>
      <c r="I51" s="381"/>
      <c r="J51" s="383"/>
      <c r="K51" s="88"/>
      <c r="L51" s="181"/>
      <c r="M51" s="24"/>
      <c r="R51" s="56"/>
      <c r="S51" s="402"/>
    </row>
    <row r="52" spans="2:19" ht="15.75" customHeight="1">
      <c r="B52" s="38"/>
      <c r="C52" s="17"/>
      <c r="D52" s="407" t="s">
        <v>233</v>
      </c>
      <c r="E52" s="408"/>
      <c r="F52" s="381"/>
      <c r="G52" s="382"/>
      <c r="H52" s="383"/>
      <c r="I52" s="381"/>
      <c r="J52" s="383"/>
      <c r="K52" s="88"/>
      <c r="L52" s="181"/>
      <c r="M52" s="24"/>
      <c r="R52" s="56"/>
      <c r="S52" s="402"/>
    </row>
    <row r="53" spans="2:19" ht="6" customHeight="1">
      <c r="B53" s="38"/>
      <c r="C53" s="17"/>
      <c r="D53" s="17"/>
      <c r="E53" s="17"/>
      <c r="F53" s="17"/>
      <c r="G53" s="17"/>
      <c r="H53" s="17"/>
      <c r="I53" s="17"/>
      <c r="J53" s="17"/>
      <c r="K53" s="88"/>
      <c r="L53" s="181"/>
      <c r="M53" s="24"/>
      <c r="R53" s="56"/>
      <c r="S53" s="402"/>
    </row>
    <row r="54" spans="2:19">
      <c r="B54" s="60" t="s">
        <v>168</v>
      </c>
      <c r="C54" s="55" t="s">
        <v>194</v>
      </c>
      <c r="D54" s="17"/>
      <c r="E54" s="17"/>
      <c r="F54" s="17"/>
      <c r="G54" s="17"/>
      <c r="H54" s="17"/>
      <c r="I54" s="17"/>
      <c r="J54" s="17"/>
      <c r="K54" s="88"/>
      <c r="L54" s="181"/>
      <c r="M54" s="24"/>
      <c r="R54" s="56"/>
      <c r="S54" s="63" t="str">
        <f>IF(S55="a","Compliant",IF(AND(S55="a"),"Compliant","Not Compliant"))</f>
        <v>Not Compliant</v>
      </c>
    </row>
    <row r="55" spans="2:19">
      <c r="B55" s="38"/>
      <c r="C55" s="380" t="s">
        <v>195</v>
      </c>
      <c r="D55" s="380"/>
      <c r="E55" s="380"/>
      <c r="F55" s="380"/>
      <c r="G55" s="380"/>
      <c r="H55" s="380"/>
      <c r="I55" s="380"/>
      <c r="J55" s="380"/>
      <c r="K55" s="88"/>
      <c r="L55" s="181" t="b">
        <v>0</v>
      </c>
      <c r="M55" s="24"/>
      <c r="R55" s="56"/>
      <c r="S55" s="402" t="str">
        <f>IF(AND(L55=TRUE,R36=TRUE,R39=TRUE),"a","r")</f>
        <v>r</v>
      </c>
    </row>
    <row r="56" spans="2:19">
      <c r="B56" s="38"/>
      <c r="C56" s="380"/>
      <c r="D56" s="380"/>
      <c r="E56" s="380"/>
      <c r="F56" s="380"/>
      <c r="G56" s="380"/>
      <c r="H56" s="380"/>
      <c r="I56" s="380"/>
      <c r="J56" s="380"/>
      <c r="K56" s="88"/>
      <c r="L56" s="181"/>
      <c r="M56" s="24"/>
      <c r="R56" s="56"/>
      <c r="S56" s="402"/>
    </row>
    <row r="57" spans="2:19" ht="6" customHeight="1">
      <c r="B57" s="38"/>
      <c r="C57" s="17"/>
      <c r="D57" s="17"/>
      <c r="E57" s="17"/>
      <c r="F57" s="17"/>
      <c r="G57" s="17"/>
      <c r="H57" s="17"/>
      <c r="I57" s="17"/>
      <c r="J57" s="17"/>
      <c r="K57" s="88"/>
      <c r="L57" s="181"/>
      <c r="M57" s="24"/>
      <c r="R57" s="56"/>
      <c r="S57" s="402"/>
    </row>
    <row r="58" spans="2:19" ht="1.5" customHeight="1">
      <c r="B58" s="38"/>
      <c r="C58" s="17"/>
      <c r="D58" s="17"/>
      <c r="E58" s="17"/>
      <c r="F58" s="17"/>
      <c r="G58" s="17"/>
      <c r="H58" s="17"/>
      <c r="I58" s="17"/>
      <c r="J58" s="17"/>
      <c r="K58" s="88"/>
      <c r="L58" s="181" t="b">
        <v>0</v>
      </c>
      <c r="M58" s="24"/>
      <c r="N58"/>
      <c r="R58" s="56"/>
      <c r="S58" s="360"/>
    </row>
    <row r="59" spans="2:19" ht="1.5" customHeight="1">
      <c r="B59" s="38"/>
      <c r="C59" s="17"/>
      <c r="D59" s="17"/>
      <c r="E59" s="17"/>
      <c r="F59" s="17"/>
      <c r="G59" s="17"/>
      <c r="H59" s="17"/>
      <c r="I59" s="17"/>
      <c r="J59" s="17"/>
      <c r="K59" s="88"/>
      <c r="L59" s="181"/>
      <c r="M59" s="24"/>
      <c r="R59" s="56"/>
      <c r="S59" s="361"/>
    </row>
    <row r="60" spans="2:19" ht="3.75" customHeight="1">
      <c r="B60" s="38"/>
      <c r="C60" s="17"/>
      <c r="D60" s="17"/>
      <c r="E60" s="17"/>
      <c r="F60" s="17"/>
      <c r="G60" s="17"/>
      <c r="H60" s="17"/>
      <c r="I60" s="17"/>
      <c r="J60" s="17"/>
      <c r="K60" s="88"/>
      <c r="L60" s="181"/>
      <c r="M60" s="24"/>
      <c r="R60" s="56"/>
      <c r="S60" s="361"/>
    </row>
    <row r="61" spans="2:19" ht="3" customHeight="1">
      <c r="B61" s="38"/>
      <c r="C61" s="17"/>
      <c r="D61" s="17"/>
      <c r="E61" s="17"/>
      <c r="F61" s="17"/>
      <c r="G61" s="17"/>
      <c r="H61" s="17"/>
      <c r="I61" s="17"/>
      <c r="J61" s="17"/>
      <c r="K61" s="88"/>
      <c r="L61" s="181"/>
      <c r="M61" s="24"/>
      <c r="R61" s="56"/>
      <c r="S61" s="361"/>
    </row>
    <row r="62" spans="2:19" ht="1.5" customHeight="1">
      <c r="B62" s="38"/>
      <c r="C62" s="17"/>
      <c r="D62" s="17"/>
      <c r="E62" s="17"/>
      <c r="F62" s="17"/>
      <c r="G62" s="17"/>
      <c r="H62" s="17"/>
      <c r="I62" s="17"/>
      <c r="J62" s="17"/>
      <c r="K62" s="88"/>
      <c r="L62" s="181"/>
      <c r="M62" s="24"/>
      <c r="R62" s="56"/>
      <c r="S62" s="361"/>
    </row>
    <row r="63" spans="2:19" ht="1.5" customHeight="1">
      <c r="B63" s="38"/>
      <c r="C63" s="17"/>
      <c r="D63" s="17"/>
      <c r="E63" s="17"/>
      <c r="F63" s="17"/>
      <c r="G63" s="17"/>
      <c r="H63" s="17"/>
      <c r="I63" s="17"/>
      <c r="J63" s="17"/>
      <c r="K63" s="88"/>
      <c r="L63" s="181"/>
      <c r="M63" s="24"/>
      <c r="R63" s="56"/>
      <c r="S63" s="361"/>
    </row>
    <row r="64" spans="2:19" ht="0.75" customHeight="1">
      <c r="B64" s="38"/>
      <c r="C64" s="17"/>
      <c r="D64" s="17"/>
      <c r="E64" s="17"/>
      <c r="F64" s="17"/>
      <c r="G64" s="17"/>
      <c r="H64" s="17"/>
      <c r="I64" s="17"/>
      <c r="J64" s="17"/>
      <c r="K64" s="88"/>
      <c r="L64" s="181"/>
      <c r="M64" s="24"/>
      <c r="R64" s="56"/>
      <c r="S64" s="361"/>
    </row>
    <row r="65" spans="2:19" ht="6" customHeight="1">
      <c r="B65" s="38"/>
      <c r="C65" s="17"/>
      <c r="D65" s="17"/>
      <c r="E65" s="17"/>
      <c r="F65" s="17"/>
      <c r="G65" s="17"/>
      <c r="H65" s="17"/>
      <c r="I65" s="17"/>
      <c r="J65" s="17"/>
      <c r="K65" s="88"/>
      <c r="L65" s="181"/>
      <c r="M65" s="24"/>
      <c r="R65" s="56"/>
      <c r="S65" s="362"/>
    </row>
    <row r="66" spans="2:19">
      <c r="B66" s="60" t="s">
        <v>169</v>
      </c>
      <c r="C66" s="55" t="s">
        <v>196</v>
      </c>
      <c r="D66" s="17"/>
      <c r="E66" s="17"/>
      <c r="F66" s="17"/>
      <c r="G66" s="17"/>
      <c r="H66" s="17"/>
      <c r="I66" s="17"/>
      <c r="J66" s="17"/>
      <c r="K66" s="88"/>
      <c r="L66" s="181"/>
      <c r="M66" s="24"/>
      <c r="R66" s="56"/>
      <c r="S66" s="63" t="str">
        <f>IF(S67="a","Compliant",IF(AND(S67="a",S71="a"),"Compliant","Not Compliant"))</f>
        <v>Not Compliant</v>
      </c>
    </row>
    <row r="67" spans="2:19" ht="15" customHeight="1">
      <c r="B67" s="38"/>
      <c r="C67" s="380" t="s">
        <v>197</v>
      </c>
      <c r="D67" s="380"/>
      <c r="E67" s="380"/>
      <c r="F67" s="380"/>
      <c r="G67" s="380"/>
      <c r="H67" s="380"/>
      <c r="I67" s="380"/>
      <c r="J67" s="380"/>
      <c r="K67" s="88"/>
      <c r="L67" s="181" t="b">
        <v>0</v>
      </c>
      <c r="M67" s="24"/>
      <c r="R67" s="56"/>
      <c r="S67" s="360" t="str">
        <f>IF(AND(L67=TRUE,L69="Ok"),"a","r")</f>
        <v>r</v>
      </c>
    </row>
    <row r="68" spans="2:19" ht="12.75" customHeight="1">
      <c r="B68" s="38"/>
      <c r="C68" s="380"/>
      <c r="D68" s="380"/>
      <c r="E68" s="380"/>
      <c r="F68" s="380"/>
      <c r="G68" s="380"/>
      <c r="H68" s="380"/>
      <c r="I68" s="380"/>
      <c r="J68" s="380"/>
      <c r="K68" s="88"/>
      <c r="L68" s="181"/>
      <c r="M68" s="24"/>
      <c r="R68" s="56"/>
      <c r="S68" s="361"/>
    </row>
    <row r="69" spans="2:19" ht="15">
      <c r="B69" s="38"/>
      <c r="C69" s="95"/>
      <c r="D69" s="187" t="s">
        <v>234</v>
      </c>
      <c r="E69" s="174">
        <f>'Ingoing substances'!R60</f>
        <v>0</v>
      </c>
      <c r="F69" s="95"/>
      <c r="G69" s="95"/>
      <c r="H69" s="95"/>
      <c r="I69" s="95"/>
      <c r="J69" s="95"/>
      <c r="K69" s="88"/>
      <c r="L69" s="181" t="str">
        <f>IF(E69&lt;2.5,"OK","No ok")</f>
        <v>OK</v>
      </c>
      <c r="M69" s="24"/>
      <c r="R69" s="56"/>
      <c r="S69" s="361"/>
    </row>
    <row r="70" spans="2:19">
      <c r="B70" s="38"/>
      <c r="C70" s="17"/>
      <c r="D70" s="17"/>
      <c r="E70" s="17"/>
      <c r="F70" s="17"/>
      <c r="G70" s="17"/>
      <c r="H70" s="17"/>
      <c r="I70" s="17"/>
      <c r="J70" s="17"/>
      <c r="K70" s="88"/>
      <c r="L70" s="181"/>
      <c r="M70" s="24"/>
      <c r="R70" s="56"/>
      <c r="S70" s="362"/>
    </row>
    <row r="71" spans="2:19">
      <c r="B71" s="38"/>
      <c r="C71" s="380" t="s">
        <v>198</v>
      </c>
      <c r="D71" s="380"/>
      <c r="E71" s="380"/>
      <c r="F71" s="380"/>
      <c r="G71" s="380"/>
      <c r="H71" s="380"/>
      <c r="I71" s="380"/>
      <c r="J71" s="380"/>
      <c r="K71" s="88"/>
      <c r="L71" s="181" t="b">
        <v>0</v>
      </c>
      <c r="M71" s="24"/>
      <c r="R71" s="56"/>
      <c r="S71" s="360" t="str">
        <f>IF(AND(L71=TRUE,I78&lt;25),"a","r")</f>
        <v>r</v>
      </c>
    </row>
    <row r="72" spans="2:19">
      <c r="B72" s="38"/>
      <c r="C72" s="380"/>
      <c r="D72" s="380"/>
      <c r="E72" s="380"/>
      <c r="F72" s="380"/>
      <c r="G72" s="380"/>
      <c r="H72" s="380"/>
      <c r="I72" s="380"/>
      <c r="J72" s="380"/>
      <c r="K72" s="88"/>
      <c r="L72" s="181"/>
      <c r="M72" s="24"/>
      <c r="R72" s="56"/>
      <c r="S72" s="361"/>
    </row>
    <row r="73" spans="2:19">
      <c r="B73" s="38"/>
      <c r="C73" s="17"/>
      <c r="D73" s="17"/>
      <c r="E73" s="17"/>
      <c r="F73" s="17"/>
      <c r="G73" s="17"/>
      <c r="H73" s="17"/>
      <c r="I73" s="17"/>
      <c r="J73" s="17"/>
      <c r="K73" s="88"/>
      <c r="L73" s="181"/>
      <c r="M73" s="24"/>
      <c r="R73" s="56"/>
      <c r="S73" s="361"/>
    </row>
    <row r="74" spans="2:19" ht="26.4">
      <c r="B74" s="38"/>
      <c r="C74" s="17"/>
      <c r="D74" s="65" t="s">
        <v>228</v>
      </c>
      <c r="E74" s="66" t="s">
        <v>40</v>
      </c>
      <c r="F74" s="387" t="s">
        <v>242</v>
      </c>
      <c r="G74" s="387"/>
      <c r="H74" s="387"/>
      <c r="I74" s="393" t="s">
        <v>247</v>
      </c>
      <c r="J74" s="393"/>
      <c r="K74" s="88"/>
      <c r="L74" s="181"/>
      <c r="M74" s="24"/>
      <c r="R74" s="56"/>
      <c r="S74" s="361"/>
    </row>
    <row r="75" spans="2:19" ht="15.75" customHeight="1">
      <c r="B75" s="38"/>
      <c r="C75" s="17"/>
      <c r="D75" s="397" t="s">
        <v>229</v>
      </c>
      <c r="E75" s="394" t="s">
        <v>239</v>
      </c>
      <c r="F75" s="381"/>
      <c r="G75" s="382"/>
      <c r="H75" s="383"/>
      <c r="I75" s="381"/>
      <c r="J75" s="383"/>
      <c r="K75" s="88"/>
      <c r="L75" s="181"/>
      <c r="M75" s="24"/>
      <c r="R75" s="56"/>
      <c r="S75" s="361"/>
    </row>
    <row r="76" spans="2:19" ht="15.75" customHeight="1">
      <c r="B76" s="38"/>
      <c r="C76" s="17"/>
      <c r="D76" s="398"/>
      <c r="E76" s="395"/>
      <c r="F76" s="381"/>
      <c r="G76" s="382"/>
      <c r="H76" s="383"/>
      <c r="I76" s="381"/>
      <c r="J76" s="383"/>
      <c r="K76" s="88"/>
      <c r="L76" s="181"/>
      <c r="M76" s="24"/>
      <c r="R76" s="56"/>
      <c r="S76" s="361"/>
    </row>
    <row r="77" spans="2:19" ht="15.75" customHeight="1">
      <c r="B77" s="38"/>
      <c r="C77" s="17"/>
      <c r="D77" s="399"/>
      <c r="E77" s="396"/>
      <c r="F77" s="381"/>
      <c r="G77" s="382"/>
      <c r="H77" s="383"/>
      <c r="I77" s="381"/>
      <c r="J77" s="383"/>
      <c r="K77" s="88"/>
      <c r="L77" s="181"/>
      <c r="M77" s="24"/>
      <c r="R77" s="56"/>
      <c r="S77" s="361"/>
    </row>
    <row r="78" spans="2:19" ht="15.75" customHeight="1">
      <c r="B78" s="38"/>
      <c r="C78" s="17"/>
      <c r="D78" s="67" t="s">
        <v>235</v>
      </c>
      <c r="E78" s="68" t="s">
        <v>241</v>
      </c>
      <c r="F78" s="381"/>
      <c r="G78" s="382"/>
      <c r="H78" s="383"/>
      <c r="I78" s="381"/>
      <c r="J78" s="383"/>
      <c r="K78" s="88"/>
      <c r="L78" s="181"/>
      <c r="M78" s="24"/>
      <c r="R78" s="56"/>
      <c r="S78" s="361"/>
    </row>
    <row r="79" spans="2:19">
      <c r="B79" s="40"/>
      <c r="C79" s="41"/>
      <c r="D79" s="41"/>
      <c r="E79" s="41"/>
      <c r="F79" s="41"/>
      <c r="G79" s="41"/>
      <c r="H79" s="41"/>
      <c r="I79" s="41"/>
      <c r="J79" s="41"/>
      <c r="K79" s="90"/>
      <c r="L79" s="181"/>
      <c r="M79" s="24"/>
      <c r="R79" s="56"/>
      <c r="S79" s="362"/>
    </row>
    <row r="80" spans="2:19" ht="15">
      <c r="B80" s="78" t="s">
        <v>165</v>
      </c>
      <c r="C80" s="79" t="s">
        <v>199</v>
      </c>
      <c r="D80" s="80"/>
      <c r="E80" s="80"/>
      <c r="F80" s="80"/>
      <c r="G80" s="80"/>
      <c r="H80" s="80"/>
      <c r="I80" s="80"/>
      <c r="J80" s="81"/>
      <c r="K80" s="82"/>
      <c r="L80" s="181"/>
      <c r="M80" s="24"/>
      <c r="R80" s="56"/>
      <c r="S80" s="207" t="str">
        <f>IF(AND(S81="a",S83="a"),"Compliant","Not Compliant")</f>
        <v>Not Compliant</v>
      </c>
    </row>
    <row r="81" spans="2:19">
      <c r="B81" s="36"/>
      <c r="C81" s="404" t="s">
        <v>200</v>
      </c>
      <c r="D81" s="404"/>
      <c r="E81" s="404"/>
      <c r="F81" s="404"/>
      <c r="G81" s="404"/>
      <c r="H81" s="404"/>
      <c r="I81" s="404"/>
      <c r="J81" s="404"/>
      <c r="K81" s="87"/>
      <c r="L81" s="181" t="b">
        <v>0</v>
      </c>
      <c r="M81" s="24"/>
      <c r="R81" s="56"/>
      <c r="S81" s="402" t="str">
        <f>IF(L81=TRUE,"a","r")</f>
        <v>r</v>
      </c>
    </row>
    <row r="82" spans="2:19">
      <c r="B82" s="38"/>
      <c r="C82" s="380"/>
      <c r="D82" s="380"/>
      <c r="E82" s="380"/>
      <c r="F82" s="380"/>
      <c r="G82" s="380"/>
      <c r="H82" s="380"/>
      <c r="I82" s="380"/>
      <c r="J82" s="380"/>
      <c r="K82" s="88"/>
      <c r="L82" s="181"/>
      <c r="M82" s="24"/>
      <c r="R82" s="56"/>
      <c r="S82" s="402"/>
    </row>
    <row r="83" spans="2:19" ht="6" customHeight="1">
      <c r="B83" s="38"/>
      <c r="C83" s="17"/>
      <c r="D83" s="17"/>
      <c r="E83" s="17"/>
      <c r="F83" s="17"/>
      <c r="G83" s="17"/>
      <c r="H83" s="17"/>
      <c r="I83" s="17"/>
      <c r="J83" s="17"/>
      <c r="K83" s="88"/>
      <c r="L83" s="181"/>
      <c r="M83" s="24"/>
      <c r="R83" s="56"/>
      <c r="S83" s="402" t="str">
        <f>IF(L84=TRUE,"a","r")</f>
        <v>r</v>
      </c>
    </row>
    <row r="84" spans="2:19">
      <c r="B84" s="38"/>
      <c r="C84" s="17" t="s">
        <v>201</v>
      </c>
      <c r="D84" s="17"/>
      <c r="E84" s="17"/>
      <c r="F84" s="17"/>
      <c r="G84" s="17"/>
      <c r="H84" s="17"/>
      <c r="I84" s="17"/>
      <c r="J84" s="17"/>
      <c r="K84" s="88"/>
      <c r="L84" s="181" t="b">
        <v>0</v>
      </c>
      <c r="M84" s="24"/>
      <c r="R84" s="56"/>
      <c r="S84" s="402"/>
    </row>
    <row r="85" spans="2:19" ht="6" customHeight="1">
      <c r="B85" s="38"/>
      <c r="C85" s="17"/>
      <c r="D85" s="17"/>
      <c r="E85" s="17"/>
      <c r="F85" s="17"/>
      <c r="G85" s="17"/>
      <c r="H85" s="17"/>
      <c r="I85" s="17"/>
      <c r="J85" s="17"/>
      <c r="K85" s="88"/>
      <c r="L85" s="181"/>
      <c r="M85" s="24"/>
      <c r="R85" s="56"/>
      <c r="S85" s="402"/>
    </row>
    <row r="86" spans="2:19" ht="15">
      <c r="B86" s="78" t="s">
        <v>170</v>
      </c>
      <c r="C86" s="79" t="s">
        <v>202</v>
      </c>
      <c r="D86" s="80"/>
      <c r="E86" s="80"/>
      <c r="F86" s="80"/>
      <c r="G86" s="80"/>
      <c r="H86" s="80"/>
      <c r="I86" s="80"/>
      <c r="J86" s="81"/>
      <c r="K86" s="82"/>
      <c r="L86" s="181"/>
      <c r="M86" s="24"/>
      <c r="R86" s="56"/>
      <c r="S86" s="63" t="str">
        <f>IF(AND(S87="a",S89="a"),"Compliant","Not Compliant")</f>
        <v>Not Compliant</v>
      </c>
    </row>
    <row r="87" spans="2:19">
      <c r="B87" s="36"/>
      <c r="C87" s="404" t="s">
        <v>203</v>
      </c>
      <c r="D87" s="404"/>
      <c r="E87" s="404"/>
      <c r="F87" s="404"/>
      <c r="G87" s="404"/>
      <c r="H87" s="404"/>
      <c r="I87" s="404"/>
      <c r="J87" s="404"/>
      <c r="K87" s="87"/>
      <c r="L87" s="181" t="b">
        <v>0</v>
      </c>
      <c r="M87" s="24"/>
      <c r="R87" s="56"/>
      <c r="S87" s="360" t="str">
        <f>IF(L87=TRUE,"a","r")</f>
        <v>r</v>
      </c>
    </row>
    <row r="88" spans="2:19">
      <c r="B88" s="38"/>
      <c r="C88" s="380"/>
      <c r="D88" s="380"/>
      <c r="E88" s="380"/>
      <c r="F88" s="380"/>
      <c r="G88" s="380"/>
      <c r="H88" s="380"/>
      <c r="I88" s="380"/>
      <c r="J88" s="380"/>
      <c r="K88" s="88"/>
      <c r="L88" s="181"/>
      <c r="M88" s="24"/>
      <c r="R88" s="56"/>
      <c r="S88" s="362"/>
    </row>
    <row r="89" spans="2:19" ht="6" customHeight="1">
      <c r="B89" s="38"/>
      <c r="C89" s="17"/>
      <c r="D89" s="17"/>
      <c r="E89" s="17"/>
      <c r="F89" s="17"/>
      <c r="G89" s="17"/>
      <c r="H89" s="17"/>
      <c r="I89" s="17"/>
      <c r="J89" s="17"/>
      <c r="K89" s="88"/>
      <c r="L89" s="181"/>
      <c r="M89" s="24"/>
      <c r="R89" s="56"/>
      <c r="S89" s="360" t="str">
        <f>IF(L90=TRUE,"a","r")</f>
        <v>r</v>
      </c>
    </row>
    <row r="90" spans="2:19">
      <c r="B90" s="38"/>
      <c r="C90" s="17" t="s">
        <v>204</v>
      </c>
      <c r="D90" s="17"/>
      <c r="E90" s="17"/>
      <c r="F90" s="17"/>
      <c r="G90" s="17"/>
      <c r="H90" s="17"/>
      <c r="I90" s="17"/>
      <c r="J90" s="17"/>
      <c r="K90" s="88"/>
      <c r="L90" s="181" t="b">
        <v>0</v>
      </c>
      <c r="M90" s="24"/>
      <c r="R90" s="56"/>
      <c r="S90" s="361"/>
    </row>
    <row r="91" spans="2:19" ht="6" customHeight="1">
      <c r="B91" s="40"/>
      <c r="C91" s="41"/>
      <c r="D91" s="41"/>
      <c r="E91" s="41"/>
      <c r="F91" s="41"/>
      <c r="G91" s="41"/>
      <c r="H91" s="41"/>
      <c r="I91" s="41"/>
      <c r="J91" s="41"/>
      <c r="K91" s="90"/>
      <c r="L91" s="181"/>
      <c r="M91" s="24"/>
      <c r="R91" s="56"/>
      <c r="S91" s="362"/>
    </row>
    <row r="92" spans="2:19" ht="15">
      <c r="B92" s="78" t="s">
        <v>171</v>
      </c>
      <c r="C92" s="79" t="s">
        <v>205</v>
      </c>
      <c r="D92" s="80"/>
      <c r="E92" s="80"/>
      <c r="F92" s="80"/>
      <c r="G92" s="80"/>
      <c r="H92" s="80"/>
      <c r="I92" s="80"/>
      <c r="J92" s="81"/>
      <c r="K92" s="82"/>
      <c r="L92" s="181"/>
      <c r="M92" s="24"/>
      <c r="R92" s="56"/>
      <c r="S92" s="63" t="str">
        <f>IF(S93="Does not apply","Does not apply",IF(OR(S95="a",S98="a",S100="a"),"Compliant","Not Compliant"))</f>
        <v>Not Compliant</v>
      </c>
    </row>
    <row r="93" spans="2:19">
      <c r="B93" s="36"/>
      <c r="C93" s="37" t="s">
        <v>206</v>
      </c>
      <c r="D93" s="37"/>
      <c r="E93" s="37"/>
      <c r="F93" s="37"/>
      <c r="G93" s="37"/>
      <c r="H93" s="37"/>
      <c r="I93" s="37"/>
      <c r="J93" s="37"/>
      <c r="K93" s="87"/>
      <c r="L93" s="181" t="b">
        <v>0</v>
      </c>
      <c r="M93" s="24"/>
      <c r="R93" s="56"/>
      <c r="S93" s="369" t="str">
        <f>IF(L93=TRUE,"Does not apply","-")</f>
        <v>-</v>
      </c>
    </row>
    <row r="94" spans="2:19" ht="6" customHeight="1">
      <c r="B94" s="38"/>
      <c r="C94" s="17"/>
      <c r="D94" s="17"/>
      <c r="E94" s="17"/>
      <c r="F94" s="17"/>
      <c r="G94" s="17"/>
      <c r="H94" s="17"/>
      <c r="I94" s="17"/>
      <c r="J94" s="17"/>
      <c r="K94" s="88"/>
      <c r="L94" s="181"/>
      <c r="M94" s="24"/>
      <c r="R94" s="56"/>
      <c r="S94" s="371"/>
    </row>
    <row r="95" spans="2:19">
      <c r="B95" s="38"/>
      <c r="C95" s="376" t="s">
        <v>207</v>
      </c>
      <c r="D95" s="376"/>
      <c r="E95" s="376"/>
      <c r="F95" s="376"/>
      <c r="G95" s="376"/>
      <c r="H95" s="376"/>
      <c r="I95" s="376"/>
      <c r="J95" s="376"/>
      <c r="K95" s="88"/>
      <c r="L95" s="181" t="b">
        <v>0</v>
      </c>
      <c r="M95" s="24"/>
      <c r="R95" s="56"/>
      <c r="S95" s="360" t="str">
        <f>IF(L95=TRUE,"a","r")</f>
        <v>r</v>
      </c>
    </row>
    <row r="96" spans="2:19">
      <c r="B96" s="38"/>
      <c r="C96" s="376"/>
      <c r="D96" s="376"/>
      <c r="E96" s="376"/>
      <c r="F96" s="376"/>
      <c r="G96" s="376"/>
      <c r="H96" s="376"/>
      <c r="I96" s="376"/>
      <c r="J96" s="376"/>
      <c r="K96" s="88"/>
      <c r="L96" s="181"/>
      <c r="M96" s="24"/>
      <c r="R96" s="56"/>
      <c r="S96" s="361"/>
    </row>
    <row r="97" spans="2:19" ht="6" customHeight="1">
      <c r="B97" s="38"/>
      <c r="C97" s="17"/>
      <c r="D97" s="17"/>
      <c r="E97" s="17"/>
      <c r="F97" s="17"/>
      <c r="G97" s="17"/>
      <c r="H97" s="17"/>
      <c r="I97" s="17"/>
      <c r="J97" s="17"/>
      <c r="K97" s="88"/>
      <c r="L97" s="181"/>
      <c r="M97" s="24"/>
      <c r="R97" s="56"/>
      <c r="S97" s="362"/>
    </row>
    <row r="98" spans="2:19">
      <c r="B98" s="38"/>
      <c r="C98" s="17" t="s">
        <v>208</v>
      </c>
      <c r="D98" s="17"/>
      <c r="E98" s="17"/>
      <c r="F98" s="17"/>
      <c r="G98" s="17"/>
      <c r="H98" s="17"/>
      <c r="I98" s="17"/>
      <c r="J98" s="17"/>
      <c r="K98" s="88"/>
      <c r="L98" s="181" t="b">
        <v>0</v>
      </c>
      <c r="M98" s="24"/>
      <c r="R98" s="56"/>
      <c r="S98" s="360" t="str">
        <f>IF(L98=TRUE,"a","r")</f>
        <v>r</v>
      </c>
    </row>
    <row r="99" spans="2:19" ht="6" customHeight="1">
      <c r="B99" s="38"/>
      <c r="C99" s="17"/>
      <c r="D99" s="17"/>
      <c r="E99" s="17"/>
      <c r="F99" s="17"/>
      <c r="G99" s="17"/>
      <c r="H99" s="17"/>
      <c r="I99" s="17"/>
      <c r="J99" s="17"/>
      <c r="K99" s="88"/>
      <c r="L99" s="181"/>
      <c r="M99" s="24"/>
      <c r="R99" s="56"/>
      <c r="S99" s="362"/>
    </row>
    <row r="100" spans="2:19">
      <c r="B100" s="38"/>
      <c r="C100" s="380" t="s">
        <v>209</v>
      </c>
      <c r="D100" s="380"/>
      <c r="E100" s="380"/>
      <c r="F100" s="380"/>
      <c r="G100" s="380"/>
      <c r="H100" s="380"/>
      <c r="I100" s="380"/>
      <c r="J100" s="380"/>
      <c r="K100" s="88"/>
      <c r="L100" s="181" t="b">
        <v>0</v>
      </c>
      <c r="M100" s="24"/>
      <c r="R100" s="56"/>
      <c r="S100" s="360" t="str">
        <f>IF(L100=TRUE,"a","r")</f>
        <v>r</v>
      </c>
    </row>
    <row r="101" spans="2:19">
      <c r="B101" s="38"/>
      <c r="C101" s="380"/>
      <c r="D101" s="380"/>
      <c r="E101" s="380"/>
      <c r="F101" s="380"/>
      <c r="G101" s="380"/>
      <c r="H101" s="380"/>
      <c r="I101" s="380"/>
      <c r="J101" s="380"/>
      <c r="K101" s="88"/>
      <c r="L101" s="181"/>
      <c r="M101" s="24"/>
      <c r="R101" s="56"/>
      <c r="S101" s="361"/>
    </row>
    <row r="102" spans="2:19" ht="6" customHeight="1">
      <c r="B102" s="40"/>
      <c r="C102" s="41"/>
      <c r="D102" s="41"/>
      <c r="E102" s="41"/>
      <c r="F102" s="41"/>
      <c r="G102" s="41"/>
      <c r="H102" s="41"/>
      <c r="I102" s="41"/>
      <c r="J102" s="41"/>
      <c r="K102" s="90"/>
      <c r="L102" s="181"/>
      <c r="M102" s="24"/>
      <c r="R102" s="56"/>
      <c r="S102" s="362"/>
    </row>
    <row r="103" spans="2:19" ht="15">
      <c r="B103" s="78" t="s">
        <v>172</v>
      </c>
      <c r="C103" s="79" t="s">
        <v>210</v>
      </c>
      <c r="D103" s="80"/>
      <c r="E103" s="80"/>
      <c r="F103" s="80"/>
      <c r="G103" s="80"/>
      <c r="H103" s="80"/>
      <c r="I103" s="80"/>
      <c r="J103" s="81"/>
      <c r="K103" s="82"/>
      <c r="L103" s="181"/>
      <c r="M103" s="24"/>
      <c r="R103" s="56"/>
      <c r="S103" s="63" t="str">
        <f>IF(S104="Does not apply","Does not apply",IF(AND(S106="a",S109="a",S112="a",S119="a"),"Compliant",IF(AND(S106="a",S109="a",S112="a"),"Compliant","Not Compliant")))</f>
        <v>Not Compliant</v>
      </c>
    </row>
    <row r="104" spans="2:19">
      <c r="B104" s="36"/>
      <c r="C104" s="37" t="s">
        <v>211</v>
      </c>
      <c r="D104" s="37"/>
      <c r="E104" s="37"/>
      <c r="F104" s="37"/>
      <c r="G104" s="37"/>
      <c r="H104" s="37"/>
      <c r="I104" s="37"/>
      <c r="J104" s="37"/>
      <c r="K104" s="87"/>
      <c r="L104" s="181" t="b">
        <v>0</v>
      </c>
      <c r="M104" s="24"/>
      <c r="R104" s="56"/>
      <c r="S104" s="369" t="str">
        <f>IF(L104=TRUE,"Does not apply","-")</f>
        <v>-</v>
      </c>
    </row>
    <row r="105" spans="2:19" ht="6" customHeight="1">
      <c r="B105" s="38"/>
      <c r="C105" s="17"/>
      <c r="D105" s="17"/>
      <c r="E105" s="17"/>
      <c r="F105" s="17"/>
      <c r="G105" s="17"/>
      <c r="H105" s="17"/>
      <c r="I105" s="17"/>
      <c r="J105" s="17"/>
      <c r="K105" s="88"/>
      <c r="L105" s="181"/>
      <c r="M105" s="24"/>
      <c r="R105" s="56"/>
      <c r="S105" s="371"/>
    </row>
    <row r="106" spans="2:19">
      <c r="B106" s="38"/>
      <c r="C106" s="376" t="s">
        <v>212</v>
      </c>
      <c r="D106" s="376"/>
      <c r="E106" s="376"/>
      <c r="F106" s="376"/>
      <c r="G106" s="376"/>
      <c r="H106" s="376"/>
      <c r="I106" s="376"/>
      <c r="J106" s="376"/>
      <c r="K106" s="88"/>
      <c r="L106" s="181" t="b">
        <v>0</v>
      </c>
      <c r="M106" s="24"/>
      <c r="R106" s="56"/>
      <c r="S106" s="360" t="str">
        <f>IF(L106=TRUE,"a","r")</f>
        <v>r</v>
      </c>
    </row>
    <row r="107" spans="2:19">
      <c r="B107" s="38"/>
      <c r="C107" s="376"/>
      <c r="D107" s="376"/>
      <c r="E107" s="376"/>
      <c r="F107" s="376"/>
      <c r="G107" s="376"/>
      <c r="H107" s="376"/>
      <c r="I107" s="376"/>
      <c r="J107" s="376"/>
      <c r="K107" s="88"/>
      <c r="L107" s="181"/>
      <c r="M107" s="24"/>
      <c r="R107" s="56"/>
      <c r="S107" s="361"/>
    </row>
    <row r="108" spans="2:19" ht="6" customHeight="1">
      <c r="B108" s="38"/>
      <c r="C108" s="17"/>
      <c r="D108" s="17"/>
      <c r="E108" s="17"/>
      <c r="F108" s="17"/>
      <c r="G108" s="17"/>
      <c r="H108" s="17"/>
      <c r="I108" s="17"/>
      <c r="J108" s="17"/>
      <c r="K108" s="88"/>
      <c r="L108" s="181"/>
      <c r="M108" s="24"/>
      <c r="R108" s="56"/>
      <c r="S108" s="362"/>
    </row>
    <row r="109" spans="2:19">
      <c r="B109" s="38"/>
      <c r="C109" s="380" t="s">
        <v>213</v>
      </c>
      <c r="D109" s="380"/>
      <c r="E109" s="380"/>
      <c r="F109" s="380"/>
      <c r="G109" s="380"/>
      <c r="H109" s="380"/>
      <c r="I109" s="380"/>
      <c r="J109" s="380"/>
      <c r="K109" s="88"/>
      <c r="L109" s="181" t="b">
        <v>0</v>
      </c>
      <c r="M109" s="24"/>
      <c r="R109" s="56"/>
      <c r="S109" s="360" t="str">
        <f>IF(L109=TRUE,"a","r")</f>
        <v>r</v>
      </c>
    </row>
    <row r="110" spans="2:19">
      <c r="B110" s="38"/>
      <c r="C110" s="380"/>
      <c r="D110" s="380"/>
      <c r="E110" s="380"/>
      <c r="F110" s="380"/>
      <c r="G110" s="380"/>
      <c r="H110" s="380"/>
      <c r="I110" s="380"/>
      <c r="J110" s="380"/>
      <c r="K110" s="88"/>
      <c r="L110" s="181"/>
      <c r="M110" s="24"/>
      <c r="R110" s="56"/>
      <c r="S110" s="361"/>
    </row>
    <row r="111" spans="2:19" ht="6" customHeight="1">
      <c r="B111" s="38"/>
      <c r="C111" s="17"/>
      <c r="D111" s="17"/>
      <c r="E111" s="17"/>
      <c r="F111" s="17"/>
      <c r="G111" s="17"/>
      <c r="H111" s="17"/>
      <c r="I111" s="17"/>
      <c r="J111" s="17"/>
      <c r="K111" s="88"/>
      <c r="L111" s="181"/>
      <c r="M111" s="24"/>
      <c r="R111" s="56"/>
      <c r="S111" s="362"/>
    </row>
    <row r="112" spans="2:19">
      <c r="B112" s="38"/>
      <c r="C112" s="17" t="s">
        <v>214</v>
      </c>
      <c r="D112" s="17"/>
      <c r="E112" s="17"/>
      <c r="F112" s="17"/>
      <c r="G112" s="17"/>
      <c r="H112" s="17"/>
      <c r="I112" s="17"/>
      <c r="J112" s="17"/>
      <c r="K112" s="88"/>
      <c r="L112" s="181" t="b">
        <v>0</v>
      </c>
      <c r="M112" s="24"/>
      <c r="R112" s="56"/>
      <c r="S112" s="360" t="str">
        <f>IF(L112=TRUE,"a","r")</f>
        <v>r</v>
      </c>
    </row>
    <row r="113" spans="2:19">
      <c r="B113" s="38"/>
      <c r="C113" s="17"/>
      <c r="D113" s="70" t="s">
        <v>236</v>
      </c>
      <c r="E113" s="161"/>
      <c r="F113" s="17" t="s">
        <v>243</v>
      </c>
      <c r="G113" s="70" t="s">
        <v>246</v>
      </c>
      <c r="H113" s="161"/>
      <c r="I113" s="17"/>
      <c r="J113" s="17"/>
      <c r="K113" s="88"/>
      <c r="L113" s="181"/>
      <c r="M113" s="24"/>
      <c r="R113" s="56"/>
      <c r="S113" s="361"/>
    </row>
    <row r="114" spans="2:19" ht="6" customHeight="1">
      <c r="B114" s="38"/>
      <c r="C114" s="17"/>
      <c r="D114" s="17"/>
      <c r="E114" s="17"/>
      <c r="F114" s="17"/>
      <c r="G114" s="17"/>
      <c r="H114" s="17"/>
      <c r="I114" s="17"/>
      <c r="J114" s="17"/>
      <c r="K114" s="88"/>
      <c r="L114" s="181"/>
      <c r="M114" s="24"/>
      <c r="R114" s="56"/>
      <c r="S114" s="361"/>
    </row>
    <row r="115" spans="2:19">
      <c r="B115" s="38"/>
      <c r="C115" s="17"/>
      <c r="D115" s="70" t="s">
        <v>236</v>
      </c>
      <c r="E115" s="161"/>
      <c r="F115" s="17" t="s">
        <v>243</v>
      </c>
      <c r="G115" s="70" t="s">
        <v>246</v>
      </c>
      <c r="H115" s="161"/>
      <c r="I115" s="17"/>
      <c r="J115" s="17"/>
      <c r="K115" s="88"/>
      <c r="L115" s="181"/>
      <c r="M115" s="24"/>
      <c r="R115" s="56"/>
      <c r="S115" s="361"/>
    </row>
    <row r="116" spans="2:19" ht="6" customHeight="1">
      <c r="B116" s="38"/>
      <c r="C116" s="17"/>
      <c r="D116" s="17"/>
      <c r="E116" s="17"/>
      <c r="F116" s="17"/>
      <c r="G116" s="17"/>
      <c r="H116" s="17"/>
      <c r="I116" s="17"/>
      <c r="J116" s="17"/>
      <c r="K116" s="88"/>
      <c r="L116" s="181"/>
      <c r="M116" s="24"/>
      <c r="R116" s="56"/>
      <c r="S116" s="361"/>
    </row>
    <row r="117" spans="2:19">
      <c r="B117" s="38"/>
      <c r="C117" s="17"/>
      <c r="D117" s="70" t="s">
        <v>236</v>
      </c>
      <c r="E117" s="161"/>
      <c r="F117" s="17" t="s">
        <v>243</v>
      </c>
      <c r="G117" s="70" t="s">
        <v>246</v>
      </c>
      <c r="H117" s="161"/>
      <c r="I117" s="17"/>
      <c r="J117" s="17"/>
      <c r="K117" s="88"/>
      <c r="L117" s="181"/>
      <c r="M117" s="24"/>
      <c r="R117" s="56"/>
      <c r="S117" s="361"/>
    </row>
    <row r="118" spans="2:19" ht="6" customHeight="1">
      <c r="B118" s="38"/>
      <c r="C118" s="17"/>
      <c r="D118" s="17"/>
      <c r="E118" s="17"/>
      <c r="F118" s="17"/>
      <c r="G118" s="17"/>
      <c r="H118" s="17"/>
      <c r="I118" s="17"/>
      <c r="J118" s="17"/>
      <c r="K118" s="88"/>
      <c r="L118" s="181"/>
      <c r="M118" s="24"/>
      <c r="R118" s="56"/>
      <c r="S118" s="362"/>
    </row>
    <row r="119" spans="2:19">
      <c r="B119" s="38"/>
      <c r="C119" s="376" t="s">
        <v>215</v>
      </c>
      <c r="D119" s="376"/>
      <c r="E119" s="376"/>
      <c r="F119" s="376"/>
      <c r="G119" s="376"/>
      <c r="H119" s="376"/>
      <c r="I119" s="376"/>
      <c r="J119" s="376"/>
      <c r="K119" s="88"/>
      <c r="L119" s="181" t="b">
        <v>0</v>
      </c>
      <c r="M119" s="24"/>
      <c r="R119" s="56"/>
      <c r="S119" s="360" t="str">
        <f>IF(L119=TRUE,"a","r")</f>
        <v>r</v>
      </c>
    </row>
    <row r="120" spans="2:19" ht="12.75" customHeight="1">
      <c r="B120" s="38"/>
      <c r="C120" s="376"/>
      <c r="D120" s="376"/>
      <c r="E120" s="376"/>
      <c r="F120" s="376"/>
      <c r="G120" s="376"/>
      <c r="H120" s="376"/>
      <c r="I120" s="376"/>
      <c r="J120" s="376"/>
      <c r="K120" s="88"/>
      <c r="L120" s="181"/>
      <c r="M120" s="24"/>
      <c r="R120" s="56"/>
      <c r="S120" s="361"/>
    </row>
    <row r="121" spans="2:19">
      <c r="B121" s="38"/>
      <c r="C121" s="376"/>
      <c r="D121" s="376"/>
      <c r="E121" s="376"/>
      <c r="F121" s="376"/>
      <c r="G121" s="376"/>
      <c r="H121" s="376"/>
      <c r="I121" s="376"/>
      <c r="J121" s="376"/>
      <c r="K121" s="88"/>
      <c r="L121" s="181"/>
      <c r="M121" s="24"/>
      <c r="R121" s="56"/>
      <c r="S121" s="361"/>
    </row>
    <row r="122" spans="2:19" ht="6" customHeight="1">
      <c r="B122" s="40"/>
      <c r="C122" s="41"/>
      <c r="D122" s="41"/>
      <c r="E122" s="41"/>
      <c r="F122" s="41"/>
      <c r="G122" s="41"/>
      <c r="H122" s="41"/>
      <c r="I122" s="41"/>
      <c r="J122" s="41"/>
      <c r="K122" s="90"/>
      <c r="L122" s="181"/>
      <c r="M122" s="24"/>
      <c r="R122" s="56"/>
      <c r="S122" s="362"/>
    </row>
    <row r="123" spans="2:19" ht="15">
      <c r="B123" s="78" t="s">
        <v>173</v>
      </c>
      <c r="C123" s="79" t="s">
        <v>216</v>
      </c>
      <c r="D123" s="80"/>
      <c r="E123" s="80"/>
      <c r="F123" s="80"/>
      <c r="G123" s="80"/>
      <c r="H123" s="80"/>
      <c r="I123" s="80"/>
      <c r="J123" s="81"/>
      <c r="K123" s="82"/>
      <c r="L123" s="181"/>
      <c r="M123" s="24"/>
      <c r="R123" s="56"/>
      <c r="S123" s="63" t="str">
        <f>IF(S124="Does not apply","Does not apply",IF(AND(S126="a",S129="a"),"Compliant",IF(AND(S126="a",S129="a",(OR(S136="a",S140="a"))),"Compliant","Not Compliant")))</f>
        <v>Not Compliant</v>
      </c>
    </row>
    <row r="124" spans="2:19">
      <c r="B124" s="36"/>
      <c r="C124" s="37" t="s">
        <v>217</v>
      </c>
      <c r="D124" s="37"/>
      <c r="E124" s="37"/>
      <c r="F124" s="37"/>
      <c r="G124" s="37"/>
      <c r="H124" s="37"/>
      <c r="I124" s="37"/>
      <c r="J124" s="37"/>
      <c r="K124" s="87"/>
      <c r="L124" s="181" t="b">
        <v>0</v>
      </c>
      <c r="M124" s="24"/>
      <c r="R124" s="56"/>
      <c r="S124" s="369" t="str">
        <f>IF(L124=TRUE,"Does not apply","-")</f>
        <v>-</v>
      </c>
    </row>
    <row r="125" spans="2:19" ht="6" customHeight="1">
      <c r="B125" s="38"/>
      <c r="C125" s="17"/>
      <c r="D125" s="17"/>
      <c r="E125" s="17"/>
      <c r="F125" s="17"/>
      <c r="G125" s="17"/>
      <c r="H125" s="17"/>
      <c r="I125" s="17"/>
      <c r="J125" s="17"/>
      <c r="K125" s="88"/>
      <c r="L125" s="181"/>
      <c r="M125" s="24"/>
      <c r="R125" s="56"/>
      <c r="S125" s="371"/>
    </row>
    <row r="126" spans="2:19">
      <c r="B126" s="38"/>
      <c r="C126" s="380" t="s">
        <v>218</v>
      </c>
      <c r="D126" s="380"/>
      <c r="E126" s="380"/>
      <c r="F126" s="380"/>
      <c r="G126" s="380"/>
      <c r="H126" s="380"/>
      <c r="I126" s="380"/>
      <c r="J126" s="380"/>
      <c r="K126" s="88"/>
      <c r="L126" s="181" t="b">
        <v>0</v>
      </c>
      <c r="M126" s="24"/>
      <c r="R126" s="56"/>
      <c r="S126" s="360" t="str">
        <f>IF(L126=TRUE,"a","r")</f>
        <v>r</v>
      </c>
    </row>
    <row r="127" spans="2:19">
      <c r="B127" s="38"/>
      <c r="C127" s="380"/>
      <c r="D127" s="380"/>
      <c r="E127" s="380"/>
      <c r="F127" s="380"/>
      <c r="G127" s="380"/>
      <c r="H127" s="380"/>
      <c r="I127" s="380"/>
      <c r="J127" s="380"/>
      <c r="K127" s="88"/>
      <c r="L127" s="181"/>
      <c r="M127" s="24"/>
      <c r="R127" s="56"/>
      <c r="S127" s="361"/>
    </row>
    <row r="128" spans="2:19" ht="6" customHeight="1">
      <c r="B128" s="38"/>
      <c r="C128" s="17"/>
      <c r="D128" s="17"/>
      <c r="E128" s="17"/>
      <c r="F128" s="17"/>
      <c r="G128" s="17"/>
      <c r="H128" s="17"/>
      <c r="I128" s="17"/>
      <c r="J128" s="17"/>
      <c r="K128" s="88"/>
      <c r="L128" s="181"/>
      <c r="M128" s="24"/>
      <c r="R128" s="56"/>
      <c r="S128" s="362"/>
    </row>
    <row r="129" spans="2:19">
      <c r="B129" s="38"/>
      <c r="C129" s="17" t="s">
        <v>219</v>
      </c>
      <c r="D129" s="17"/>
      <c r="E129" s="17"/>
      <c r="F129" s="17"/>
      <c r="G129" s="17"/>
      <c r="H129" s="17"/>
      <c r="I129" s="17"/>
      <c r="J129" s="17"/>
      <c r="K129" s="88"/>
      <c r="L129" s="181" t="b">
        <v>0</v>
      </c>
      <c r="M129" s="24"/>
      <c r="R129" s="56"/>
      <c r="S129" s="360" t="str">
        <f>IF(OR(L129=TRUE,L134=TRUE),"a","r")</f>
        <v>r</v>
      </c>
    </row>
    <row r="130" spans="2:19">
      <c r="B130" s="38"/>
      <c r="C130" s="17"/>
      <c r="D130" s="70" t="s">
        <v>236</v>
      </c>
      <c r="E130" s="161"/>
      <c r="F130" s="17" t="s">
        <v>243</v>
      </c>
      <c r="G130" s="70" t="s">
        <v>246</v>
      </c>
      <c r="H130" s="161"/>
      <c r="I130" s="17"/>
      <c r="J130" s="17"/>
      <c r="K130" s="88"/>
      <c r="L130" s="181"/>
      <c r="M130" s="24"/>
      <c r="R130" s="56"/>
      <c r="S130" s="361"/>
    </row>
    <row r="131" spans="2:19" ht="6" customHeight="1">
      <c r="B131" s="38"/>
      <c r="C131" s="17"/>
      <c r="D131" s="17"/>
      <c r="E131" s="17"/>
      <c r="F131" s="17"/>
      <c r="G131" s="17"/>
      <c r="H131" s="17"/>
      <c r="I131" s="17"/>
      <c r="J131" s="17"/>
      <c r="K131" s="88"/>
      <c r="L131" s="181"/>
      <c r="M131" s="24"/>
      <c r="R131" s="56"/>
      <c r="S131" s="361"/>
    </row>
    <row r="132" spans="2:19">
      <c r="B132" s="38"/>
      <c r="C132" s="17"/>
      <c r="D132" s="70" t="s">
        <v>236</v>
      </c>
      <c r="E132" s="161"/>
      <c r="F132" s="17" t="s">
        <v>243</v>
      </c>
      <c r="G132" s="70" t="s">
        <v>246</v>
      </c>
      <c r="H132" s="161"/>
      <c r="I132" s="17"/>
      <c r="J132" s="17"/>
      <c r="K132" s="88"/>
      <c r="L132" s="181"/>
      <c r="M132" s="24"/>
      <c r="R132" s="56"/>
      <c r="S132" s="361"/>
    </row>
    <row r="133" spans="2:19" ht="6" customHeight="1">
      <c r="B133" s="38"/>
      <c r="C133" s="17"/>
      <c r="D133" s="17"/>
      <c r="E133" s="17"/>
      <c r="F133" s="17"/>
      <c r="G133" s="17"/>
      <c r="H133" s="17"/>
      <c r="I133" s="17"/>
      <c r="J133" s="17"/>
      <c r="K133" s="88"/>
      <c r="L133" s="181"/>
      <c r="M133" s="24"/>
      <c r="R133" s="56"/>
      <c r="S133" s="361"/>
    </row>
    <row r="134" spans="2:19">
      <c r="B134" s="38"/>
      <c r="C134" s="17" t="s">
        <v>220</v>
      </c>
      <c r="D134" s="17"/>
      <c r="E134" s="17"/>
      <c r="F134" s="17"/>
      <c r="G134" s="17"/>
      <c r="H134" s="17"/>
      <c r="I134" s="17"/>
      <c r="J134" s="17"/>
      <c r="K134" s="88"/>
      <c r="L134" s="181" t="b">
        <v>0</v>
      </c>
      <c r="M134" s="24"/>
      <c r="R134" s="56"/>
      <c r="S134" s="361"/>
    </row>
    <row r="135" spans="2:19" ht="6" customHeight="1">
      <c r="B135" s="38"/>
      <c r="C135" s="17"/>
      <c r="D135" s="17"/>
      <c r="E135" s="17"/>
      <c r="F135" s="17"/>
      <c r="G135" s="17"/>
      <c r="H135" s="17"/>
      <c r="I135" s="17"/>
      <c r="J135" s="17"/>
      <c r="K135" s="88"/>
      <c r="L135" s="181"/>
      <c r="M135" s="24"/>
      <c r="R135" s="56"/>
      <c r="S135" s="362"/>
    </row>
    <row r="136" spans="2:19">
      <c r="B136" s="38"/>
      <c r="C136" s="376" t="s">
        <v>215</v>
      </c>
      <c r="D136" s="376"/>
      <c r="E136" s="376"/>
      <c r="F136" s="376"/>
      <c r="G136" s="376"/>
      <c r="H136" s="376"/>
      <c r="I136" s="376"/>
      <c r="J136" s="376"/>
      <c r="K136" s="88"/>
      <c r="L136" s="181" t="b">
        <v>0</v>
      </c>
      <c r="M136" s="24"/>
      <c r="R136" s="56"/>
      <c r="S136" s="360" t="str">
        <f>IF(L136=TRUE,"a","r")</f>
        <v>r</v>
      </c>
    </row>
    <row r="137" spans="2:19">
      <c r="B137" s="38"/>
      <c r="C137" s="376"/>
      <c r="D137" s="376"/>
      <c r="E137" s="376"/>
      <c r="F137" s="376"/>
      <c r="G137" s="376"/>
      <c r="H137" s="376"/>
      <c r="I137" s="376"/>
      <c r="J137" s="376"/>
      <c r="K137" s="88"/>
      <c r="L137" s="181"/>
      <c r="M137" s="24"/>
      <c r="R137" s="56"/>
      <c r="S137" s="361"/>
    </row>
    <row r="138" spans="2:19">
      <c r="B138" s="38"/>
      <c r="C138" s="376"/>
      <c r="D138" s="376"/>
      <c r="E138" s="376"/>
      <c r="F138" s="376"/>
      <c r="G138" s="376"/>
      <c r="H138" s="376"/>
      <c r="I138" s="376"/>
      <c r="J138" s="376"/>
      <c r="K138" s="88"/>
      <c r="L138" s="181"/>
      <c r="M138" s="24"/>
      <c r="R138" s="56"/>
      <c r="S138" s="361"/>
    </row>
    <row r="139" spans="2:19" ht="6" customHeight="1">
      <c r="B139" s="38"/>
      <c r="C139" s="17"/>
      <c r="D139" s="17"/>
      <c r="E139" s="17"/>
      <c r="F139" s="17"/>
      <c r="G139" s="17"/>
      <c r="H139" s="17"/>
      <c r="I139" s="17"/>
      <c r="J139" s="17"/>
      <c r="K139" s="88"/>
      <c r="L139" s="181"/>
      <c r="M139" s="24"/>
      <c r="R139" s="56"/>
      <c r="S139" s="362"/>
    </row>
    <row r="140" spans="2:19">
      <c r="B140" s="38"/>
      <c r="C140" s="403" t="s">
        <v>221</v>
      </c>
      <c r="D140" s="403"/>
      <c r="E140" s="403"/>
      <c r="F140" s="403"/>
      <c r="G140" s="403"/>
      <c r="H140" s="403"/>
      <c r="I140" s="403"/>
      <c r="J140" s="403"/>
      <c r="K140" s="88"/>
      <c r="L140" s="181" t="b">
        <v>0</v>
      </c>
      <c r="M140" s="24"/>
      <c r="R140" s="56"/>
      <c r="S140" s="360" t="str">
        <f>IF(L140=TRUE,"a","r")</f>
        <v>r</v>
      </c>
    </row>
    <row r="141" spans="2:19" ht="12.75" customHeight="1">
      <c r="B141" s="38"/>
      <c r="C141" s="403"/>
      <c r="D141" s="403"/>
      <c r="E141" s="403"/>
      <c r="F141" s="403"/>
      <c r="G141" s="403"/>
      <c r="H141" s="403"/>
      <c r="I141" s="403"/>
      <c r="J141" s="403"/>
      <c r="K141" s="88"/>
      <c r="L141" s="181"/>
      <c r="M141" s="24"/>
      <c r="R141" s="56"/>
      <c r="S141" s="361"/>
    </row>
    <row r="142" spans="2:19">
      <c r="B142" s="38"/>
      <c r="C142" s="403"/>
      <c r="D142" s="403"/>
      <c r="E142" s="403"/>
      <c r="F142" s="403"/>
      <c r="G142" s="403"/>
      <c r="H142" s="403"/>
      <c r="I142" s="403"/>
      <c r="J142" s="403"/>
      <c r="K142" s="88"/>
      <c r="L142" s="181"/>
      <c r="M142" s="24"/>
      <c r="R142" s="56"/>
      <c r="S142" s="361"/>
    </row>
    <row r="143" spans="2:19">
      <c r="B143" s="40"/>
      <c r="C143" s="403"/>
      <c r="D143" s="403"/>
      <c r="E143" s="403"/>
      <c r="F143" s="403"/>
      <c r="G143" s="403"/>
      <c r="H143" s="403"/>
      <c r="I143" s="403"/>
      <c r="J143" s="403"/>
      <c r="K143" s="88"/>
      <c r="L143" s="181"/>
      <c r="M143" s="24"/>
      <c r="R143" s="56"/>
      <c r="S143" s="361"/>
    </row>
    <row r="144" spans="2:19" ht="1.5" customHeight="1">
      <c r="B144" s="38"/>
      <c r="C144" s="41"/>
      <c r="D144" s="89"/>
      <c r="E144" s="89"/>
      <c r="F144" s="89"/>
      <c r="G144" s="89"/>
      <c r="H144" s="89"/>
      <c r="I144" s="89"/>
      <c r="J144" s="89"/>
      <c r="K144" s="90"/>
      <c r="L144" s="214"/>
      <c r="M144" s="33"/>
      <c r="N144" s="48"/>
      <c r="O144" s="48"/>
      <c r="P144" s="48"/>
      <c r="Q144" s="48"/>
      <c r="R144" s="57"/>
      <c r="S144" s="362"/>
    </row>
    <row r="145" spans="2:19" ht="1.5" customHeight="1">
      <c r="B145" s="249"/>
      <c r="C145" s="250"/>
      <c r="D145" s="61"/>
      <c r="E145" s="61"/>
      <c r="F145" s="61"/>
      <c r="G145" s="61"/>
      <c r="H145" s="61"/>
      <c r="I145" s="61"/>
      <c r="J145" s="17"/>
      <c r="K145" s="17"/>
      <c r="L145" s="181"/>
      <c r="R145" s="56"/>
      <c r="S145" s="248"/>
    </row>
    <row r="146" spans="2:19" ht="0.75" customHeight="1">
      <c r="B146" s="17"/>
      <c r="C146" s="17"/>
      <c r="D146" s="95"/>
      <c r="E146" s="95"/>
      <c r="F146" s="95"/>
      <c r="G146" s="95"/>
      <c r="H146" s="95"/>
      <c r="I146" s="95"/>
      <c r="J146" s="95"/>
      <c r="K146" s="17"/>
      <c r="L146" s="181"/>
      <c r="R146" s="56"/>
      <c r="S146" s="409"/>
    </row>
    <row r="147" spans="2:19" ht="0.75" hidden="1" customHeight="1">
      <c r="B147" s="17"/>
      <c r="C147" s="17"/>
      <c r="D147" s="95"/>
      <c r="E147" s="95"/>
      <c r="F147" s="95"/>
      <c r="G147" s="95"/>
      <c r="H147" s="95"/>
      <c r="I147" s="95"/>
      <c r="J147" s="95"/>
      <c r="K147" s="17"/>
      <c r="L147" s="181"/>
      <c r="R147" s="56"/>
      <c r="S147" s="409"/>
    </row>
    <row r="148" spans="2:19" hidden="1">
      <c r="B148" s="17"/>
      <c r="C148" s="380"/>
      <c r="D148" s="380"/>
      <c r="E148" s="380"/>
      <c r="F148" s="380"/>
      <c r="G148" s="380"/>
      <c r="H148" s="380"/>
      <c r="I148" s="380"/>
      <c r="J148" s="380"/>
      <c r="K148" s="17"/>
      <c r="L148" s="181"/>
      <c r="R148" s="56"/>
      <c r="S148" s="410"/>
    </row>
    <row r="149" spans="2:19" hidden="1">
      <c r="B149" s="17"/>
      <c r="C149" s="380"/>
      <c r="D149" s="380"/>
      <c r="E149" s="380"/>
      <c r="F149" s="380"/>
      <c r="G149" s="380"/>
      <c r="H149" s="380"/>
      <c r="I149" s="380"/>
      <c r="J149" s="380"/>
      <c r="K149" s="17"/>
      <c r="L149" s="181"/>
      <c r="R149" s="56"/>
      <c r="S149" s="410"/>
    </row>
    <row r="150" spans="2:19" ht="6" hidden="1" customHeight="1">
      <c r="B150" s="17"/>
      <c r="C150" s="17"/>
      <c r="D150" s="95"/>
      <c r="E150" s="95"/>
      <c r="F150" s="95"/>
      <c r="G150" s="95"/>
      <c r="H150" s="95"/>
      <c r="I150" s="95"/>
      <c r="J150" s="95"/>
      <c r="K150" s="17"/>
      <c r="L150" s="181"/>
      <c r="R150" s="56"/>
      <c r="S150" s="410"/>
    </row>
    <row r="151" spans="2:19" ht="0.75" hidden="1" customHeight="1">
      <c r="B151" s="17"/>
      <c r="C151" s="17"/>
      <c r="D151" s="95"/>
      <c r="E151" s="95"/>
      <c r="F151" s="95"/>
      <c r="G151" s="95"/>
      <c r="H151" s="95"/>
      <c r="I151" s="95"/>
      <c r="J151" s="95"/>
      <c r="K151" s="17"/>
      <c r="L151" s="181"/>
      <c r="R151" s="56"/>
      <c r="S151" s="410"/>
    </row>
    <row r="152" spans="2:19" ht="0.75" hidden="1" customHeight="1">
      <c r="B152" s="17"/>
      <c r="C152" s="17"/>
      <c r="D152" s="251"/>
      <c r="E152" s="181"/>
      <c r="F152" s="17"/>
      <c r="G152" s="251"/>
      <c r="H152" s="181"/>
      <c r="I152" s="17"/>
      <c r="J152" s="17"/>
      <c r="K152" s="17"/>
      <c r="L152" s="181"/>
      <c r="R152" s="56"/>
      <c r="S152" s="410"/>
    </row>
    <row r="153" spans="2:19" ht="6" hidden="1" customHeight="1">
      <c r="B153" s="17"/>
      <c r="C153" s="17"/>
      <c r="D153" s="17"/>
      <c r="E153" s="17"/>
      <c r="F153" s="17"/>
      <c r="G153" s="17"/>
      <c r="H153" s="17"/>
      <c r="I153" s="17"/>
      <c r="J153" s="17"/>
      <c r="K153" s="17"/>
      <c r="L153" s="181"/>
      <c r="R153" s="56"/>
      <c r="S153" s="410"/>
    </row>
    <row r="154" spans="2:19" hidden="1">
      <c r="B154" s="17"/>
      <c r="C154" s="17"/>
      <c r="D154" s="251"/>
      <c r="E154" s="181"/>
      <c r="F154" s="17"/>
      <c r="G154" s="251"/>
      <c r="H154" s="181"/>
      <c r="I154" s="17"/>
      <c r="J154" s="17"/>
      <c r="K154" s="17"/>
      <c r="L154" s="181"/>
      <c r="R154" s="56"/>
      <c r="S154" s="410"/>
    </row>
    <row r="155" spans="2:19" ht="0.75" hidden="1" customHeight="1">
      <c r="B155" s="17"/>
      <c r="C155" s="17"/>
      <c r="D155" s="251"/>
      <c r="E155" s="181"/>
      <c r="F155" s="95"/>
      <c r="G155" s="251"/>
      <c r="H155" s="181"/>
      <c r="I155" s="95"/>
      <c r="J155" s="95"/>
      <c r="K155" s="17"/>
      <c r="L155" s="181"/>
      <c r="R155" s="56"/>
      <c r="S155" s="410"/>
    </row>
    <row r="156" spans="2:19" ht="6" hidden="1" customHeight="1">
      <c r="B156" s="17"/>
      <c r="C156" s="17"/>
      <c r="D156" s="17"/>
      <c r="E156" s="17"/>
      <c r="F156" s="95"/>
      <c r="G156" s="95"/>
      <c r="H156" s="95"/>
      <c r="I156" s="95"/>
      <c r="J156" s="95"/>
      <c r="K156" s="17"/>
      <c r="L156" s="181"/>
      <c r="R156" s="56"/>
      <c r="S156" s="410"/>
    </row>
    <row r="157" spans="2:19" hidden="1">
      <c r="B157" s="17"/>
      <c r="C157" s="17"/>
      <c r="D157" s="17"/>
      <c r="E157" s="17"/>
      <c r="F157" s="95"/>
      <c r="G157" s="95"/>
      <c r="H157" s="95"/>
      <c r="I157" s="95"/>
      <c r="J157" s="95"/>
      <c r="K157" s="17"/>
      <c r="L157" s="181"/>
      <c r="R157" s="56"/>
      <c r="S157" s="410"/>
    </row>
    <row r="158" spans="2:19" hidden="1">
      <c r="B158" s="17"/>
      <c r="C158" s="17"/>
      <c r="D158" s="380"/>
      <c r="E158" s="380"/>
      <c r="F158" s="380"/>
      <c r="G158" s="380"/>
      <c r="H158" s="380"/>
      <c r="I158" s="380"/>
      <c r="J158" s="380"/>
      <c r="K158" s="17"/>
      <c r="L158" s="181"/>
      <c r="R158" s="56"/>
      <c r="S158" s="410"/>
    </row>
    <row r="159" spans="2:19" ht="0.75" hidden="1" customHeight="1">
      <c r="B159" s="17"/>
      <c r="C159" s="17"/>
      <c r="D159" s="380"/>
      <c r="E159" s="380"/>
      <c r="F159" s="380"/>
      <c r="G159" s="380"/>
      <c r="H159" s="380"/>
      <c r="I159" s="380"/>
      <c r="J159" s="380"/>
      <c r="K159" s="17"/>
      <c r="L159" s="181"/>
      <c r="R159" s="56"/>
      <c r="S159" s="410"/>
    </row>
    <row r="160" spans="2:19" ht="6" hidden="1" customHeight="1">
      <c r="B160" s="17"/>
      <c r="C160" s="17"/>
      <c r="D160" s="95"/>
      <c r="E160" s="95"/>
      <c r="F160" s="95"/>
      <c r="G160" s="95"/>
      <c r="H160" s="95"/>
      <c r="I160" s="95"/>
      <c r="J160" s="95"/>
      <c r="K160" s="17"/>
      <c r="R160" s="56"/>
      <c r="S160" s="410"/>
    </row>
    <row r="161" spans="2:19">
      <c r="L161" s="48"/>
      <c r="R161" s="56"/>
    </row>
    <row r="162" spans="2:19" ht="27" customHeight="1">
      <c r="B162" s="365" t="s">
        <v>174</v>
      </c>
      <c r="C162" s="366"/>
      <c r="D162" s="366"/>
      <c r="E162" s="366"/>
      <c r="F162" s="366"/>
      <c r="G162" s="366"/>
      <c r="H162" s="366"/>
      <c r="I162" s="366"/>
      <c r="J162" s="366"/>
      <c r="K162" s="366"/>
      <c r="L162" s="367"/>
      <c r="M162" s="366"/>
      <c r="N162" s="366"/>
      <c r="O162" s="366"/>
      <c r="P162" s="366"/>
      <c r="Q162" s="368"/>
      <c r="R162" s="92"/>
      <c r="S162" s="73" t="str">
        <f>IF(S163="Does not apply","Does not apply",IF(S166="a","Compliant","Not Compliant"))</f>
        <v>Not Compliant</v>
      </c>
    </row>
    <row r="163" spans="2:19">
      <c r="B163" s="24"/>
      <c r="C163" s="372" t="s">
        <v>222</v>
      </c>
      <c r="D163" s="372"/>
      <c r="E163" s="372"/>
      <c r="F163" s="372"/>
      <c r="G163" s="372"/>
      <c r="H163" s="372"/>
      <c r="I163" s="372"/>
      <c r="J163" s="372"/>
      <c r="K163" s="74"/>
      <c r="L163" s="181" t="b">
        <v>0</v>
      </c>
      <c r="M163" s="28"/>
      <c r="N163" s="356" t="str">
        <f>IF(L163=TRUE,"","Third-party certifications that the palm oil and palm kernel oil used in the manufacturing of the product originates from sustainably managed plantations")</f>
        <v>Third-party certifications that the palm oil and palm kernel oil used in the manufacturing of the product originates from sustainably managed plantations</v>
      </c>
      <c r="O163" s="356"/>
      <c r="P163" s="356"/>
      <c r="Q163" s="357"/>
      <c r="R163" s="185" t="b">
        <v>0</v>
      </c>
      <c r="S163" s="369" t="str">
        <f>IF(L163=TRUE,"Does not apply","Apply")</f>
        <v>Apply</v>
      </c>
    </row>
    <row r="164" spans="2:19">
      <c r="B164" s="24"/>
      <c r="C164" s="372"/>
      <c r="D164" s="372"/>
      <c r="E164" s="372"/>
      <c r="F164" s="372"/>
      <c r="G164" s="372"/>
      <c r="H164" s="372"/>
      <c r="I164" s="372"/>
      <c r="J164" s="372"/>
      <c r="K164" s="74"/>
      <c r="L164" s="181"/>
      <c r="M164" s="24"/>
      <c r="N164" s="358"/>
      <c r="O164" s="358"/>
      <c r="P164" s="358"/>
      <c r="Q164" s="359"/>
      <c r="R164" s="56"/>
      <c r="S164" s="370"/>
    </row>
    <row r="165" spans="2:19" ht="6" customHeight="1">
      <c r="B165" s="24"/>
      <c r="L165" s="181"/>
      <c r="M165" s="24"/>
      <c r="N165" s="358"/>
      <c r="O165" s="358"/>
      <c r="P165" s="358"/>
      <c r="Q165" s="359"/>
      <c r="R165" s="56"/>
      <c r="S165" s="371"/>
    </row>
    <row r="166" spans="2:19">
      <c r="B166" s="24"/>
      <c r="C166" t="s">
        <v>223</v>
      </c>
      <c r="L166" s="181" t="b">
        <v>0</v>
      </c>
      <c r="M166" s="24"/>
      <c r="N166" s="358"/>
      <c r="O166" s="358"/>
      <c r="P166" s="358"/>
      <c r="Q166" s="359"/>
      <c r="R166" s="56"/>
      <c r="S166" s="364" t="str">
        <f>IF(AND(L166=TRUE,R163=TRUE),"a","r")</f>
        <v>r</v>
      </c>
    </row>
    <row r="167" spans="2:19" ht="12.6" customHeight="1">
      <c r="B167" s="24"/>
      <c r="D167" s="374" t="s">
        <v>237</v>
      </c>
      <c r="E167" s="374"/>
      <c r="F167" s="374"/>
      <c r="G167" s="374"/>
      <c r="H167" s="374"/>
      <c r="I167" s="374"/>
      <c r="J167" s="374"/>
      <c r="K167" s="72"/>
      <c r="L167" s="181"/>
      <c r="M167" s="24"/>
      <c r="Q167" s="32"/>
      <c r="R167" s="56"/>
      <c r="S167" s="364"/>
    </row>
    <row r="168" spans="2:19">
      <c r="B168" s="24"/>
      <c r="D168" s="374"/>
      <c r="E168" s="374"/>
      <c r="F168" s="374"/>
      <c r="G168" s="374"/>
      <c r="H168" s="374"/>
      <c r="I168" s="374"/>
      <c r="J168" s="374"/>
      <c r="K168" s="72"/>
      <c r="L168" s="181"/>
      <c r="M168" s="24"/>
      <c r="Q168" s="32"/>
      <c r="R168" s="56"/>
      <c r="S168" s="364"/>
    </row>
    <row r="169" spans="2:19">
      <c r="B169" s="24"/>
      <c r="D169" s="372" t="s">
        <v>238</v>
      </c>
      <c r="E169" s="372"/>
      <c r="F169" s="372"/>
      <c r="G169" s="372"/>
      <c r="H169" s="372"/>
      <c r="I169" s="372"/>
      <c r="J169" s="372"/>
      <c r="K169" s="74"/>
      <c r="L169" s="181"/>
      <c r="M169" s="24"/>
      <c r="Q169" s="32"/>
      <c r="R169" s="56"/>
      <c r="S169" s="364"/>
    </row>
    <row r="170" spans="2:19">
      <c r="B170" s="24"/>
      <c r="D170" s="372"/>
      <c r="E170" s="372"/>
      <c r="F170" s="372"/>
      <c r="G170" s="372"/>
      <c r="H170" s="372"/>
      <c r="I170" s="372"/>
      <c r="J170" s="372"/>
      <c r="K170" s="74"/>
      <c r="M170" s="24"/>
      <c r="Q170" s="32"/>
      <c r="R170" s="56"/>
      <c r="S170" s="364"/>
    </row>
    <row r="171" spans="2:19" ht="6" customHeight="1">
      <c r="B171" s="33"/>
      <c r="C171" s="48"/>
      <c r="D171" s="48"/>
      <c r="E171" s="48"/>
      <c r="F171" s="48"/>
      <c r="G171" s="48"/>
      <c r="H171" s="48"/>
      <c r="I171" s="48"/>
      <c r="J171" s="48"/>
      <c r="K171" s="48"/>
      <c r="L171" s="41"/>
      <c r="M171" s="33"/>
      <c r="N171" s="48"/>
      <c r="O171" s="48"/>
      <c r="P171" s="48"/>
      <c r="Q171" s="62"/>
      <c r="R171" s="23"/>
      <c r="S171" s="85"/>
    </row>
    <row r="173" spans="2:19" ht="27" customHeight="1">
      <c r="B173" s="365" t="s">
        <v>175</v>
      </c>
      <c r="C173" s="366"/>
      <c r="D173" s="366"/>
      <c r="E173" s="366"/>
      <c r="F173" s="366"/>
      <c r="G173" s="366"/>
      <c r="H173" s="366"/>
      <c r="I173" s="366"/>
      <c r="J173" s="366"/>
      <c r="K173" s="366"/>
      <c r="L173" s="366"/>
      <c r="M173" s="366"/>
      <c r="N173" s="366"/>
      <c r="O173" s="366"/>
      <c r="P173" s="366"/>
      <c r="Q173" s="368"/>
      <c r="R173" s="92"/>
      <c r="S173" s="73" t="str">
        <f>IF(AND(S174="a",S177="a",R174=TRUE),"Compliant","Not Compliant")</f>
        <v>Not Compliant</v>
      </c>
    </row>
    <row r="174" spans="2:19">
      <c r="B174" s="24"/>
      <c r="C174" s="372" t="s">
        <v>224</v>
      </c>
      <c r="D174" s="372"/>
      <c r="E174" s="372"/>
      <c r="F174" s="372"/>
      <c r="G174" s="372"/>
      <c r="H174" s="372"/>
      <c r="I174" s="372"/>
      <c r="J174" s="372"/>
      <c r="K174" s="74"/>
      <c r="L174" s="181" t="b">
        <v>0</v>
      </c>
      <c r="M174" s="28"/>
      <c r="N174" s="356" t="s">
        <v>251</v>
      </c>
      <c r="O174" s="356"/>
      <c r="P174" s="356"/>
      <c r="Q174" s="357"/>
      <c r="R174" s="185" t="b">
        <v>0</v>
      </c>
      <c r="S174" s="360" t="str">
        <f>IF(L174=TRUE,"a","r")</f>
        <v>r</v>
      </c>
    </row>
    <row r="175" spans="2:19">
      <c r="B175" s="24"/>
      <c r="C175" s="372"/>
      <c r="D175" s="372"/>
      <c r="E175" s="372"/>
      <c r="F175" s="372"/>
      <c r="G175" s="372"/>
      <c r="H175" s="372"/>
      <c r="I175" s="372"/>
      <c r="J175" s="372"/>
      <c r="K175" s="74"/>
      <c r="L175" s="181"/>
      <c r="M175" s="24"/>
      <c r="N175" s="358"/>
      <c r="O175" s="358"/>
      <c r="P175" s="358"/>
      <c r="Q175" s="359"/>
      <c r="R175" s="56"/>
      <c r="S175" s="361"/>
    </row>
    <row r="176" spans="2:19" ht="6" customHeight="1">
      <c r="B176" s="24"/>
      <c r="L176" s="181"/>
      <c r="M176" s="24"/>
      <c r="N176" s="358"/>
      <c r="O176" s="358"/>
      <c r="P176" s="358"/>
      <c r="Q176" s="359"/>
      <c r="R176" s="56"/>
      <c r="S176" s="362"/>
    </row>
    <row r="177" spans="2:19">
      <c r="B177" s="24"/>
      <c r="C177" s="363" t="s">
        <v>225</v>
      </c>
      <c r="D177" s="363"/>
      <c r="E177" s="363"/>
      <c r="F177" s="363"/>
      <c r="G177" s="363"/>
      <c r="H177" s="363"/>
      <c r="I177" s="363"/>
      <c r="J177" s="363"/>
      <c r="L177" s="181" t="b">
        <v>0</v>
      </c>
      <c r="M177" s="24"/>
      <c r="Q177" s="32"/>
      <c r="R177" s="56"/>
      <c r="S177" s="364" t="str">
        <f>IF(L177=TRUE,"a","r")</f>
        <v>r</v>
      </c>
    </row>
    <row r="178" spans="2:19" ht="12" customHeight="1">
      <c r="B178" s="24"/>
      <c r="C178" s="363"/>
      <c r="D178" s="363"/>
      <c r="E178" s="363"/>
      <c r="F178" s="363"/>
      <c r="G178" s="363"/>
      <c r="H178" s="363"/>
      <c r="I178" s="363"/>
      <c r="J178" s="363"/>
      <c r="K178" s="72"/>
      <c r="L178" s="181"/>
      <c r="M178" s="24"/>
      <c r="Q178" s="32"/>
      <c r="R178" s="56"/>
      <c r="S178" s="364"/>
    </row>
    <row r="179" spans="2:19" ht="6" customHeight="1">
      <c r="B179" s="33"/>
      <c r="C179" s="48"/>
      <c r="D179" s="48"/>
      <c r="E179" s="48"/>
      <c r="F179" s="48"/>
      <c r="G179" s="48"/>
      <c r="H179" s="48"/>
      <c r="I179" s="48"/>
      <c r="J179" s="48"/>
      <c r="K179" s="48"/>
      <c r="L179" s="41"/>
      <c r="M179" s="33"/>
      <c r="N179" s="48"/>
      <c r="O179" s="48"/>
      <c r="P179" s="48"/>
      <c r="Q179" s="62"/>
      <c r="R179" s="23"/>
      <c r="S179" s="85"/>
    </row>
    <row r="181" spans="2:19" ht="27" customHeight="1">
      <c r="B181" s="365" t="s">
        <v>176</v>
      </c>
      <c r="C181" s="366"/>
      <c r="D181" s="366"/>
      <c r="E181" s="366"/>
      <c r="F181" s="366"/>
      <c r="G181" s="366"/>
      <c r="H181" s="366"/>
      <c r="I181" s="366"/>
      <c r="J181" s="366"/>
      <c r="K181" s="366"/>
      <c r="L181" s="366"/>
      <c r="M181" s="366"/>
      <c r="N181" s="366"/>
      <c r="O181" s="366"/>
      <c r="P181" s="366"/>
      <c r="Q181" s="368"/>
      <c r="R181" s="92"/>
      <c r="S181" s="73" t="str">
        <f>IF(AND(S182="a",S185="a",R182=TRUE),"Compliant","Not Compliant")</f>
        <v>Compliant</v>
      </c>
    </row>
    <row r="182" spans="2:19" ht="12.75" customHeight="1">
      <c r="B182" s="24"/>
      <c r="C182" s="1" t="s">
        <v>226</v>
      </c>
      <c r="D182" s="71"/>
      <c r="E182" s="71"/>
      <c r="F182" s="71"/>
      <c r="G182" s="71"/>
      <c r="H182" s="71"/>
      <c r="I182" s="71"/>
      <c r="J182" s="71"/>
      <c r="K182" s="74"/>
      <c r="L182" s="181" t="b">
        <v>1</v>
      </c>
      <c r="M182" s="28"/>
      <c r="N182" s="356" t="s">
        <v>252</v>
      </c>
      <c r="O182" s="356"/>
      <c r="P182" s="356"/>
      <c r="Q182" s="357"/>
      <c r="R182" s="185" t="b">
        <v>1</v>
      </c>
      <c r="S182" s="360" t="str">
        <f>IF(L182=TRUE,"a","r")</f>
        <v>a</v>
      </c>
    </row>
    <row r="183" spans="2:19">
      <c r="B183" s="24"/>
      <c r="C183" s="71"/>
      <c r="D183" s="71"/>
      <c r="E183" s="71"/>
      <c r="F183" s="71"/>
      <c r="G183" s="71"/>
      <c r="H183" s="71"/>
      <c r="I183" s="71"/>
      <c r="J183" s="71"/>
      <c r="K183" s="74"/>
      <c r="L183" s="181"/>
      <c r="M183" s="24"/>
      <c r="N183" s="358"/>
      <c r="O183" s="358"/>
      <c r="P183" s="358"/>
      <c r="Q183" s="359"/>
      <c r="R183" s="56"/>
      <c r="S183" s="361"/>
    </row>
    <row r="184" spans="2:19" ht="6" customHeight="1">
      <c r="B184" s="24"/>
      <c r="L184" s="181"/>
      <c r="M184" s="24"/>
      <c r="N184" s="358"/>
      <c r="O184" s="358"/>
      <c r="P184" s="358"/>
      <c r="Q184" s="359"/>
      <c r="R184" s="56"/>
      <c r="S184" s="362"/>
    </row>
    <row r="185" spans="2:19">
      <c r="B185" s="24"/>
      <c r="C185" s="363" t="s">
        <v>227</v>
      </c>
      <c r="D185" s="363"/>
      <c r="E185" s="363"/>
      <c r="F185" s="363"/>
      <c r="G185" s="363"/>
      <c r="H185" s="363"/>
      <c r="I185" s="363"/>
      <c r="J185" s="363"/>
      <c r="L185" s="181" t="b">
        <v>1</v>
      </c>
      <c r="M185" s="24"/>
      <c r="Q185" s="32"/>
      <c r="R185" s="56"/>
      <c r="S185" s="364" t="str">
        <f>IF(L185=TRUE,"a","r")</f>
        <v>a</v>
      </c>
    </row>
    <row r="186" spans="2:19" ht="12" customHeight="1">
      <c r="B186" s="24"/>
      <c r="C186" s="363"/>
      <c r="D186" s="363"/>
      <c r="E186" s="363"/>
      <c r="F186" s="363"/>
      <c r="G186" s="363"/>
      <c r="H186" s="363"/>
      <c r="I186" s="363"/>
      <c r="J186" s="363"/>
      <c r="K186" s="72"/>
      <c r="L186" s="181"/>
      <c r="M186" s="24"/>
      <c r="Q186" s="32"/>
      <c r="R186" s="56"/>
      <c r="S186" s="364"/>
    </row>
    <row r="187" spans="2:19" ht="6" customHeight="1">
      <c r="B187" s="33"/>
      <c r="C187" s="48"/>
      <c r="D187" s="48"/>
      <c r="E187" s="48"/>
      <c r="F187" s="48"/>
      <c r="G187" s="48"/>
      <c r="H187" s="48"/>
      <c r="I187" s="48"/>
      <c r="J187" s="48"/>
      <c r="K187" s="48"/>
      <c r="L187" s="41"/>
      <c r="M187" s="33"/>
      <c r="N187" s="48"/>
      <c r="O187" s="48"/>
      <c r="P187" s="48"/>
      <c r="Q187" s="62"/>
      <c r="R187" s="23"/>
      <c r="S187" s="85"/>
    </row>
  </sheetData>
  <sheetProtection algorithmName="SHA-512" hashValue="tPXbtGgNLRSstRdx5HJUh6iI2lTUWpA6rtNNtt7SvCOY94kZRGuUZW/lTDH5AG9eNwPeidlBgLEWW13OCBEHTA==" saltValue="jFgsN0NiWutswp14+fVVuQ==" spinCount="100000" sheet="1" selectLockedCells="1"/>
  <mergeCells count="130">
    <mergeCell ref="S39:S46"/>
    <mergeCell ref="S47:S53"/>
    <mergeCell ref="S55:S57"/>
    <mergeCell ref="S81:S82"/>
    <mergeCell ref="S83:S85"/>
    <mergeCell ref="S58:S65"/>
    <mergeCell ref="S89:S91"/>
    <mergeCell ref="S87:S88"/>
    <mergeCell ref="I76:J76"/>
    <mergeCell ref="S67:S70"/>
    <mergeCell ref="S146:S147"/>
    <mergeCell ref="S148:S150"/>
    <mergeCell ref="S151:S156"/>
    <mergeCell ref="S157:S160"/>
    <mergeCell ref="S140:S144"/>
    <mergeCell ref="S136:S139"/>
    <mergeCell ref="S124:S125"/>
    <mergeCell ref="C95:J96"/>
    <mergeCell ref="F77:H77"/>
    <mergeCell ref="I77:J77"/>
    <mergeCell ref="S100:S102"/>
    <mergeCell ref="S129:S135"/>
    <mergeCell ref="S71:S79"/>
    <mergeCell ref="S104:S105"/>
    <mergeCell ref="S106:S108"/>
    <mergeCell ref="S109:S111"/>
    <mergeCell ref="S112:S118"/>
    <mergeCell ref="S119:S122"/>
    <mergeCell ref="S93:S94"/>
    <mergeCell ref="S95:S97"/>
    <mergeCell ref="S98:S99"/>
    <mergeCell ref="N25:Q26"/>
    <mergeCell ref="D158:J159"/>
    <mergeCell ref="C148:J149"/>
    <mergeCell ref="C126:J127"/>
    <mergeCell ref="C100:J101"/>
    <mergeCell ref="C119:J121"/>
    <mergeCell ref="C136:J138"/>
    <mergeCell ref="C140:J143"/>
    <mergeCell ref="S126:S128"/>
    <mergeCell ref="C81:J82"/>
    <mergeCell ref="C87:J88"/>
    <mergeCell ref="C71:J72"/>
    <mergeCell ref="F74:H74"/>
    <mergeCell ref="I74:J74"/>
    <mergeCell ref="D75:D77"/>
    <mergeCell ref="E75:E77"/>
    <mergeCell ref="F75:H75"/>
    <mergeCell ref="I75:J75"/>
    <mergeCell ref="F76:H76"/>
    <mergeCell ref="I78:J78"/>
    <mergeCell ref="D50:E50"/>
    <mergeCell ref="D51:E51"/>
    <mergeCell ref="D52:E52"/>
    <mergeCell ref="I52:J52"/>
    <mergeCell ref="F42:H42"/>
    <mergeCell ref="C67:J68"/>
    <mergeCell ref="C55:J56"/>
    <mergeCell ref="I42:J42"/>
    <mergeCell ref="I43:J43"/>
    <mergeCell ref="I44:J44"/>
    <mergeCell ref="I45:J45"/>
    <mergeCell ref="I49:J49"/>
    <mergeCell ref="F50:H50"/>
    <mergeCell ref="I51:J51"/>
    <mergeCell ref="F52:H52"/>
    <mergeCell ref="S3:S6"/>
    <mergeCell ref="F49:H49"/>
    <mergeCell ref="F43:H43"/>
    <mergeCell ref="F44:H44"/>
    <mergeCell ref="F45:H45"/>
    <mergeCell ref="N8:Q9"/>
    <mergeCell ref="S22:S26"/>
    <mergeCell ref="S27:S29"/>
    <mergeCell ref="D49:E49"/>
    <mergeCell ref="F41:H41"/>
    <mergeCell ref="I41:J41"/>
    <mergeCell ref="E42:E44"/>
    <mergeCell ref="D42:D44"/>
    <mergeCell ref="S7:S9"/>
    <mergeCell ref="S13:S17"/>
    <mergeCell ref="N13:Q14"/>
    <mergeCell ref="N16:Q16"/>
    <mergeCell ref="N22:Q24"/>
    <mergeCell ref="S18:S20"/>
    <mergeCell ref="N28:Q29"/>
    <mergeCell ref="C36:J37"/>
    <mergeCell ref="N30:Q31"/>
    <mergeCell ref="S30:S31"/>
    <mergeCell ref="S36:S38"/>
    <mergeCell ref="M1:Q1"/>
    <mergeCell ref="C163:J164"/>
    <mergeCell ref="D167:J168"/>
    <mergeCell ref="C16:D16"/>
    <mergeCell ref="C17:D17"/>
    <mergeCell ref="C22:J23"/>
    <mergeCell ref="G17:H17"/>
    <mergeCell ref="C26:D26"/>
    <mergeCell ref="G25:H25"/>
    <mergeCell ref="B2:Q2"/>
    <mergeCell ref="B11:S11"/>
    <mergeCell ref="G16:H16"/>
    <mergeCell ref="B33:S33"/>
    <mergeCell ref="C106:J107"/>
    <mergeCell ref="C109:J110"/>
    <mergeCell ref="F78:H78"/>
    <mergeCell ref="I50:J50"/>
    <mergeCell ref="F51:H51"/>
    <mergeCell ref="C5:D5"/>
    <mergeCell ref="C6:D6"/>
    <mergeCell ref="C13:J14"/>
    <mergeCell ref="G26:H26"/>
    <mergeCell ref="C25:D25"/>
    <mergeCell ref="N3:Q5"/>
    <mergeCell ref="N182:Q184"/>
    <mergeCell ref="S182:S184"/>
    <mergeCell ref="C185:J186"/>
    <mergeCell ref="S185:S186"/>
    <mergeCell ref="B162:Q162"/>
    <mergeCell ref="S163:S165"/>
    <mergeCell ref="S166:S170"/>
    <mergeCell ref="B173:Q173"/>
    <mergeCell ref="C174:J175"/>
    <mergeCell ref="N174:Q176"/>
    <mergeCell ref="S174:S176"/>
    <mergeCell ref="S177:S178"/>
    <mergeCell ref="N163:Q166"/>
    <mergeCell ref="C177:J178"/>
    <mergeCell ref="B181:Q181"/>
    <mergeCell ref="D169:J170"/>
  </mergeCells>
  <conditionalFormatting sqref="L5:M5">
    <cfRule type="cellIs" dxfId="66" priority="49" operator="equal">
      <formula>"""No ok"""</formula>
    </cfRule>
  </conditionalFormatting>
  <conditionalFormatting sqref="L16:M16">
    <cfRule type="cellIs" dxfId="65" priority="57" operator="equal">
      <formula>"""No ok"""</formula>
    </cfRule>
  </conditionalFormatting>
  <conditionalFormatting sqref="L17:M17">
    <cfRule type="cellIs" dxfId="64" priority="48" operator="equal">
      <formula>"""No ok"""</formula>
    </cfRule>
  </conditionalFormatting>
  <conditionalFormatting sqref="L25:M25">
    <cfRule type="cellIs" dxfId="63" priority="54" operator="equal">
      <formula>"""No ok"""</formula>
    </cfRule>
  </conditionalFormatting>
  <conditionalFormatting sqref="L26:M26">
    <cfRule type="cellIs" dxfId="62" priority="47" operator="equal">
      <formula>"""No ok"""</formula>
    </cfRule>
    <cfRule type="cellIs" dxfId="61" priority="53" operator="equal">
      <formula>"No ok"</formula>
    </cfRule>
  </conditionalFormatting>
  <conditionalFormatting sqref="S12">
    <cfRule type="cellIs" dxfId="60" priority="45" operator="equal">
      <formula>"Compliant"</formula>
    </cfRule>
    <cfRule type="cellIs" dxfId="59" priority="46" operator="equal">
      <formula>"Not Compliant"</formula>
    </cfRule>
  </conditionalFormatting>
  <conditionalFormatting sqref="S2">
    <cfRule type="cellIs" dxfId="58" priority="43" operator="equal">
      <formula>"Not Compliant"</formula>
    </cfRule>
    <cfRule type="cellIs" dxfId="57" priority="44" operator="equal">
      <formula>"Compliant"</formula>
    </cfRule>
  </conditionalFormatting>
  <conditionalFormatting sqref="S21">
    <cfRule type="cellIs" dxfId="56" priority="26" operator="equal">
      <formula>"Not Compliant"</formula>
    </cfRule>
    <cfRule type="cellIs" dxfId="55" priority="42" operator="equal">
      <formula>"Compliant"</formula>
    </cfRule>
  </conditionalFormatting>
  <conditionalFormatting sqref="S35">
    <cfRule type="cellIs" dxfId="54" priority="25" operator="equal">
      <formula>"Compliant"</formula>
    </cfRule>
    <cfRule type="cellIs" dxfId="53" priority="41" operator="equal">
      <formula>"Not Compliant"</formula>
    </cfRule>
  </conditionalFormatting>
  <conditionalFormatting sqref="S54">
    <cfRule type="cellIs" dxfId="52" priority="23" operator="equal">
      <formula>"Not Compliant"</formula>
    </cfRule>
    <cfRule type="cellIs" dxfId="51" priority="24" operator="equal">
      <formula>"Compliant"</formula>
    </cfRule>
  </conditionalFormatting>
  <conditionalFormatting sqref="S66">
    <cfRule type="cellIs" dxfId="50" priority="21" operator="equal">
      <formula>"Not Compliant"</formula>
    </cfRule>
    <cfRule type="cellIs" dxfId="49" priority="22" operator="equal">
      <formula>"Compliant"</formula>
    </cfRule>
  </conditionalFormatting>
  <conditionalFormatting sqref="S80">
    <cfRule type="cellIs" dxfId="48" priority="19" operator="equal">
      <formula>"Compliant"</formula>
    </cfRule>
    <cfRule type="cellIs" dxfId="47" priority="20" operator="equal">
      <formula>"Not Compliant"</formula>
    </cfRule>
  </conditionalFormatting>
  <conditionalFormatting sqref="S86">
    <cfRule type="cellIs" dxfId="46" priority="17" operator="equal">
      <formula>"Compliant"</formula>
    </cfRule>
    <cfRule type="cellIs" dxfId="45" priority="18" operator="equal">
      <formula>"Not Compliant"</formula>
    </cfRule>
  </conditionalFormatting>
  <conditionalFormatting sqref="S92">
    <cfRule type="cellIs" dxfId="44" priority="15" operator="equal">
      <formula>"Compliant"</formula>
    </cfRule>
    <cfRule type="cellIs" dxfId="43" priority="16" operator="equal">
      <formula>"Not Compliant"</formula>
    </cfRule>
  </conditionalFormatting>
  <conditionalFormatting sqref="S103">
    <cfRule type="cellIs" dxfId="42" priority="13" operator="equal">
      <formula>"Not Compliant"</formula>
    </cfRule>
    <cfRule type="cellIs" dxfId="41" priority="14" operator="equal">
      <formula>"Compliant"</formula>
    </cfRule>
  </conditionalFormatting>
  <conditionalFormatting sqref="S123">
    <cfRule type="cellIs" dxfId="40" priority="11" operator="equal">
      <formula>"Not Compliant"</formula>
    </cfRule>
    <cfRule type="cellIs" dxfId="39" priority="12" operator="equal">
      <formula>"Compliant"</formula>
    </cfRule>
  </conditionalFormatting>
  <conditionalFormatting sqref="S145">
    <cfRule type="cellIs" dxfId="38" priority="9" operator="equal">
      <formula>"Compliant"</formula>
    </cfRule>
    <cfRule type="cellIs" dxfId="37" priority="10" operator="equal">
      <formula>"Not Compliant"</formula>
    </cfRule>
  </conditionalFormatting>
  <conditionalFormatting sqref="S162">
    <cfRule type="cellIs" dxfId="36" priority="7" operator="equal">
      <formula>"Compliant"</formula>
    </cfRule>
    <cfRule type="cellIs" dxfId="35" priority="8" operator="equal">
      <formula>"Not Compliant"</formula>
    </cfRule>
  </conditionalFormatting>
  <conditionalFormatting sqref="S173">
    <cfRule type="cellIs" dxfId="34" priority="5" operator="equal">
      <formula>"Compliant"</formula>
    </cfRule>
    <cfRule type="cellIs" dxfId="33" priority="6" operator="equal">
      <formula>"Not Compliant"</formula>
    </cfRule>
  </conditionalFormatting>
  <conditionalFormatting sqref="S181">
    <cfRule type="cellIs" dxfId="32" priority="3" operator="equal">
      <formula>"Compliant"</formula>
    </cfRule>
    <cfRule type="cellIs" dxfId="31" priority="4" operator="equal">
      <formula>"Not Compliant"</formula>
    </cfRule>
  </conditionalFormatting>
  <conditionalFormatting sqref="S34">
    <cfRule type="cellIs" dxfId="30" priority="1" operator="equal">
      <formula>"Not Compliant"</formula>
    </cfRule>
    <cfRule type="cellIs" dxfId="29" priority="2" operator="equal">
      <formula>"Compliant"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30480</xdr:colOff>
                    <xdr:row>1</xdr:row>
                    <xdr:rowOff>342900</xdr:rowOff>
                  </from>
                  <to>
                    <xdr:col>3</xdr:col>
                    <xdr:colOff>106680</xdr:colOff>
                    <xdr:row>3</xdr:row>
                    <xdr:rowOff>22860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7620</xdr:colOff>
                    <xdr:row>11</xdr:row>
                    <xdr:rowOff>175260</xdr:rowOff>
                  </from>
                  <to>
                    <xdr:col>3</xdr:col>
                    <xdr:colOff>83820</xdr:colOff>
                    <xdr:row>13</xdr:row>
                    <xdr:rowOff>30480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7620</xdr:colOff>
                    <xdr:row>17</xdr:row>
                    <xdr:rowOff>121920</xdr:rowOff>
                  </from>
                  <to>
                    <xdr:col>3</xdr:col>
                    <xdr:colOff>83820</xdr:colOff>
                    <xdr:row>19</xdr:row>
                    <xdr:rowOff>45720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30480</xdr:colOff>
                    <xdr:row>21</xdr:row>
                    <xdr:rowOff>0</xdr:rowOff>
                  </from>
                  <to>
                    <xdr:col>3</xdr:col>
                    <xdr:colOff>175260</xdr:colOff>
                    <xdr:row>22</xdr:row>
                    <xdr:rowOff>38100</xdr:rowOff>
                  </to>
                </anchor>
              </controlPr>
            </control>
          </mc:Choice>
        </mc:AlternateContent>
        <mc:AlternateContent xmlns:mc="http://schemas.openxmlformats.org/markup-compatibility/2006">
          <mc:Choice Requires="x14">
            <control shapeId="8201" r:id="rId8" name="Check Box 9">
              <controlPr defaultSize="0" autoFill="0" autoLine="0" autoPict="0">
                <anchor moveWithCells="1">
                  <from>
                    <xdr:col>1</xdr:col>
                    <xdr:colOff>22860</xdr:colOff>
                    <xdr:row>6</xdr:row>
                    <xdr:rowOff>137160</xdr:rowOff>
                  </from>
                  <to>
                    <xdr:col>3</xdr:col>
                    <xdr:colOff>114300</xdr:colOff>
                    <xdr:row>8</xdr:row>
                    <xdr:rowOff>38100</xdr:rowOff>
                  </to>
                </anchor>
              </controlPr>
            </control>
          </mc:Choice>
        </mc:AlternateContent>
        <mc:AlternateContent xmlns:mc="http://schemas.openxmlformats.org/markup-compatibility/2006">
          <mc:Choice Requires="x14">
            <control shapeId="8202" r:id="rId9" name="Check Box 10">
              <controlPr defaultSize="0" autoFill="0" autoLine="0" autoPict="0">
                <anchor moveWithCells="1">
                  <from>
                    <xdr:col>12</xdr:col>
                    <xdr:colOff>22860</xdr:colOff>
                    <xdr:row>2</xdr:row>
                    <xdr:rowOff>7620</xdr:rowOff>
                  </from>
                  <to>
                    <xdr:col>13</xdr:col>
                    <xdr:colOff>449580</xdr:colOff>
                    <xdr:row>3</xdr:row>
                    <xdr:rowOff>30480</xdr:rowOff>
                  </to>
                </anchor>
              </controlPr>
            </control>
          </mc:Choice>
        </mc:AlternateContent>
        <mc:AlternateContent xmlns:mc="http://schemas.openxmlformats.org/markup-compatibility/2006">
          <mc:Choice Requires="x14">
            <control shapeId="8205" r:id="rId10" name="Check Box 13">
              <controlPr defaultSize="0" autoFill="0" autoLine="0" autoPict="0">
                <anchor moveWithCells="1">
                  <from>
                    <xdr:col>1</xdr:col>
                    <xdr:colOff>22860</xdr:colOff>
                    <xdr:row>26</xdr:row>
                    <xdr:rowOff>137160</xdr:rowOff>
                  </from>
                  <to>
                    <xdr:col>3</xdr:col>
                    <xdr:colOff>114300</xdr:colOff>
                    <xdr:row>28</xdr:row>
                    <xdr:rowOff>30480</xdr:rowOff>
                  </to>
                </anchor>
              </controlPr>
            </control>
          </mc:Choice>
        </mc:AlternateContent>
        <mc:AlternateContent xmlns:mc="http://schemas.openxmlformats.org/markup-compatibility/2006">
          <mc:Choice Requires="x14">
            <control shapeId="8206" r:id="rId11" name="Check Box 14">
              <controlPr defaultSize="0" autoFill="0" autoLine="0" autoPict="0">
                <anchor moveWithCells="1">
                  <from>
                    <xdr:col>12</xdr:col>
                    <xdr:colOff>45720</xdr:colOff>
                    <xdr:row>20</xdr:row>
                    <xdr:rowOff>182880</xdr:rowOff>
                  </from>
                  <to>
                    <xdr:col>13</xdr:col>
                    <xdr:colOff>464820</xdr:colOff>
                    <xdr:row>22</xdr:row>
                    <xdr:rowOff>7620</xdr:rowOff>
                  </to>
                </anchor>
              </controlPr>
            </control>
          </mc:Choice>
        </mc:AlternateContent>
        <mc:AlternateContent xmlns:mc="http://schemas.openxmlformats.org/markup-compatibility/2006">
          <mc:Choice Requires="x14">
            <control shapeId="8207" r:id="rId12" name="Check Box 15">
              <controlPr defaultSize="0" autoFill="0" autoLine="0" autoPict="0">
                <anchor moveWithCells="1">
                  <from>
                    <xdr:col>1</xdr:col>
                    <xdr:colOff>30480</xdr:colOff>
                    <xdr:row>28</xdr:row>
                    <xdr:rowOff>160020</xdr:rowOff>
                  </from>
                  <to>
                    <xdr:col>3</xdr:col>
                    <xdr:colOff>121920</xdr:colOff>
                    <xdr:row>30</xdr:row>
                    <xdr:rowOff>30480</xdr:rowOff>
                  </to>
                </anchor>
              </controlPr>
            </control>
          </mc:Choice>
        </mc:AlternateContent>
        <mc:AlternateContent xmlns:mc="http://schemas.openxmlformats.org/markup-compatibility/2006">
          <mc:Choice Requires="x14">
            <control shapeId="8208" r:id="rId13" name="Check Box 16">
              <controlPr defaultSize="0" autoFill="0" autoLine="0" autoPict="0">
                <anchor moveWithCells="1">
                  <from>
                    <xdr:col>12</xdr:col>
                    <xdr:colOff>45720</xdr:colOff>
                    <xdr:row>23</xdr:row>
                    <xdr:rowOff>60960</xdr:rowOff>
                  </from>
                  <to>
                    <xdr:col>13</xdr:col>
                    <xdr:colOff>464820</xdr:colOff>
                    <xdr:row>24</xdr:row>
                    <xdr:rowOff>182880</xdr:rowOff>
                  </to>
                </anchor>
              </controlPr>
            </control>
          </mc:Choice>
        </mc:AlternateContent>
        <mc:AlternateContent xmlns:mc="http://schemas.openxmlformats.org/markup-compatibility/2006">
          <mc:Choice Requires="x14">
            <control shapeId="8245" r:id="rId14" name="Check Box 53">
              <controlPr defaultSize="0" autoFill="0" autoLine="0" autoPict="0">
                <anchor moveWithCells="1">
                  <from>
                    <xdr:col>1</xdr:col>
                    <xdr:colOff>7620</xdr:colOff>
                    <xdr:row>161</xdr:row>
                    <xdr:rowOff>312420</xdr:rowOff>
                  </from>
                  <to>
                    <xdr:col>3</xdr:col>
                    <xdr:colOff>121920</xdr:colOff>
                    <xdr:row>163</xdr:row>
                    <xdr:rowOff>30480</xdr:rowOff>
                  </to>
                </anchor>
              </controlPr>
            </control>
          </mc:Choice>
        </mc:AlternateContent>
        <mc:AlternateContent xmlns:mc="http://schemas.openxmlformats.org/markup-compatibility/2006">
          <mc:Choice Requires="x14">
            <control shapeId="8246" r:id="rId15" name="Check Box 54">
              <controlPr defaultSize="0" autoFill="0" autoLine="0" autoPict="0">
                <anchor moveWithCells="1">
                  <from>
                    <xdr:col>1</xdr:col>
                    <xdr:colOff>30480</xdr:colOff>
                    <xdr:row>164</xdr:row>
                    <xdr:rowOff>144780</xdr:rowOff>
                  </from>
                  <to>
                    <xdr:col>3</xdr:col>
                    <xdr:colOff>144780</xdr:colOff>
                    <xdr:row>166</xdr:row>
                    <xdr:rowOff>45720</xdr:rowOff>
                  </to>
                </anchor>
              </controlPr>
            </control>
          </mc:Choice>
        </mc:AlternateContent>
        <mc:AlternateContent xmlns:mc="http://schemas.openxmlformats.org/markup-compatibility/2006">
          <mc:Choice Requires="x14">
            <control shapeId="8247" r:id="rId16" name="Check Box 55">
              <controlPr defaultSize="0" autoFill="0" autoLine="0" autoPict="0">
                <anchor moveWithCells="1">
                  <from>
                    <xdr:col>2</xdr:col>
                    <xdr:colOff>30480</xdr:colOff>
                    <xdr:row>165</xdr:row>
                    <xdr:rowOff>144780</xdr:rowOff>
                  </from>
                  <to>
                    <xdr:col>3</xdr:col>
                    <xdr:colOff>403860</xdr:colOff>
                    <xdr:row>167</xdr:row>
                    <xdr:rowOff>38100</xdr:rowOff>
                  </to>
                </anchor>
              </controlPr>
            </control>
          </mc:Choice>
        </mc:AlternateContent>
        <mc:AlternateContent xmlns:mc="http://schemas.openxmlformats.org/markup-compatibility/2006">
          <mc:Choice Requires="x14">
            <control shapeId="8248" r:id="rId17" name="Check Box 56">
              <controlPr defaultSize="0" autoFill="0" autoLine="0" autoPict="0">
                <anchor moveWithCells="1">
                  <from>
                    <xdr:col>2</xdr:col>
                    <xdr:colOff>30480</xdr:colOff>
                    <xdr:row>167</xdr:row>
                    <xdr:rowOff>137160</xdr:rowOff>
                  </from>
                  <to>
                    <xdr:col>3</xdr:col>
                    <xdr:colOff>411480</xdr:colOff>
                    <xdr:row>169</xdr:row>
                    <xdr:rowOff>30480</xdr:rowOff>
                  </to>
                </anchor>
              </controlPr>
            </control>
          </mc:Choice>
        </mc:AlternateContent>
        <mc:AlternateContent xmlns:mc="http://schemas.openxmlformats.org/markup-compatibility/2006">
          <mc:Choice Requires="x14">
            <control shapeId="8250" r:id="rId18" name="Check Box 58">
              <controlPr defaultSize="0" autoFill="0" autoLine="0" autoPict="0">
                <anchor moveWithCells="1">
                  <from>
                    <xdr:col>0</xdr:col>
                    <xdr:colOff>236220</xdr:colOff>
                    <xdr:row>34</xdr:row>
                    <xdr:rowOff>137160</xdr:rowOff>
                  </from>
                  <to>
                    <xdr:col>3</xdr:col>
                    <xdr:colOff>190500</xdr:colOff>
                    <xdr:row>36</xdr:row>
                    <xdr:rowOff>22860</xdr:rowOff>
                  </to>
                </anchor>
              </controlPr>
            </control>
          </mc:Choice>
        </mc:AlternateContent>
        <mc:AlternateContent xmlns:mc="http://schemas.openxmlformats.org/markup-compatibility/2006">
          <mc:Choice Requires="x14">
            <control shapeId="8251" r:id="rId19" name="Check Box 59">
              <controlPr defaultSize="0" autoFill="0" autoLine="0" autoPict="0">
                <anchor moveWithCells="1">
                  <from>
                    <xdr:col>1</xdr:col>
                    <xdr:colOff>0</xdr:colOff>
                    <xdr:row>37</xdr:row>
                    <xdr:rowOff>45720</xdr:rowOff>
                  </from>
                  <to>
                    <xdr:col>3</xdr:col>
                    <xdr:colOff>198120</xdr:colOff>
                    <xdr:row>39</xdr:row>
                    <xdr:rowOff>22860</xdr:rowOff>
                  </to>
                </anchor>
              </controlPr>
            </control>
          </mc:Choice>
        </mc:AlternateContent>
        <mc:AlternateContent xmlns:mc="http://schemas.openxmlformats.org/markup-compatibility/2006">
          <mc:Choice Requires="x14">
            <control shapeId="8252" r:id="rId20" name="Check Box 60">
              <controlPr defaultSize="0" autoFill="0" autoLine="0" autoPict="0">
                <anchor moveWithCells="1">
                  <from>
                    <xdr:col>1</xdr:col>
                    <xdr:colOff>7620</xdr:colOff>
                    <xdr:row>45</xdr:row>
                    <xdr:rowOff>60960</xdr:rowOff>
                  </from>
                  <to>
                    <xdr:col>3</xdr:col>
                    <xdr:colOff>213360</xdr:colOff>
                    <xdr:row>47</xdr:row>
                    <xdr:rowOff>30480</xdr:rowOff>
                  </to>
                </anchor>
              </controlPr>
            </control>
          </mc:Choice>
        </mc:AlternateContent>
        <mc:AlternateContent xmlns:mc="http://schemas.openxmlformats.org/markup-compatibility/2006">
          <mc:Choice Requires="x14">
            <control shapeId="8253" r:id="rId21" name="Check Box 61">
              <controlPr defaultSize="0" autoFill="0" autoLine="0" autoPict="0">
                <anchor moveWithCells="1">
                  <from>
                    <xdr:col>1</xdr:col>
                    <xdr:colOff>0</xdr:colOff>
                    <xdr:row>53</xdr:row>
                    <xdr:rowOff>144780</xdr:rowOff>
                  </from>
                  <to>
                    <xdr:col>3</xdr:col>
                    <xdr:colOff>198120</xdr:colOff>
                    <xdr:row>55</xdr:row>
                    <xdr:rowOff>30480</xdr:rowOff>
                  </to>
                </anchor>
              </controlPr>
            </control>
          </mc:Choice>
        </mc:AlternateContent>
        <mc:AlternateContent xmlns:mc="http://schemas.openxmlformats.org/markup-compatibility/2006">
          <mc:Choice Requires="x14">
            <control shapeId="8255" r:id="rId22" name="Check Box 63">
              <controlPr defaultSize="0" autoFill="0" autoLine="0" autoPict="0">
                <anchor moveWithCells="1">
                  <from>
                    <xdr:col>1</xdr:col>
                    <xdr:colOff>30480</xdr:colOff>
                    <xdr:row>66</xdr:row>
                    <xdr:rowOff>0</xdr:rowOff>
                  </from>
                  <to>
                    <xdr:col>3</xdr:col>
                    <xdr:colOff>228600</xdr:colOff>
                    <xdr:row>67</xdr:row>
                    <xdr:rowOff>22860</xdr:rowOff>
                  </to>
                </anchor>
              </controlPr>
            </control>
          </mc:Choice>
        </mc:AlternateContent>
        <mc:AlternateContent xmlns:mc="http://schemas.openxmlformats.org/markup-compatibility/2006">
          <mc:Choice Requires="x14">
            <control shapeId="8256" r:id="rId23" name="Check Box 64">
              <controlPr defaultSize="0" autoFill="0" autoLine="0" autoPict="0">
                <anchor moveWithCells="1">
                  <from>
                    <xdr:col>1</xdr:col>
                    <xdr:colOff>45720</xdr:colOff>
                    <xdr:row>69</xdr:row>
                    <xdr:rowOff>144780</xdr:rowOff>
                  </from>
                  <to>
                    <xdr:col>3</xdr:col>
                    <xdr:colOff>251460</xdr:colOff>
                    <xdr:row>71</xdr:row>
                    <xdr:rowOff>30480</xdr:rowOff>
                  </to>
                </anchor>
              </controlPr>
            </control>
          </mc:Choice>
        </mc:AlternateContent>
        <mc:AlternateContent xmlns:mc="http://schemas.openxmlformats.org/markup-compatibility/2006">
          <mc:Choice Requires="x14">
            <control shapeId="8257" r:id="rId24" name="Check Box 65">
              <controlPr defaultSize="0" autoFill="0" autoLine="0" autoPict="0">
                <anchor moveWithCells="1">
                  <from>
                    <xdr:col>1</xdr:col>
                    <xdr:colOff>30480</xdr:colOff>
                    <xdr:row>79</xdr:row>
                    <xdr:rowOff>175260</xdr:rowOff>
                  </from>
                  <to>
                    <xdr:col>3</xdr:col>
                    <xdr:colOff>228600</xdr:colOff>
                    <xdr:row>81</xdr:row>
                    <xdr:rowOff>30480</xdr:rowOff>
                  </to>
                </anchor>
              </controlPr>
            </control>
          </mc:Choice>
        </mc:AlternateContent>
        <mc:AlternateContent xmlns:mc="http://schemas.openxmlformats.org/markup-compatibility/2006">
          <mc:Choice Requires="x14">
            <control shapeId="8258" r:id="rId25" name="Check Box 66">
              <controlPr defaultSize="0" autoFill="0" autoLine="0" autoPict="0">
                <anchor moveWithCells="1">
                  <from>
                    <xdr:col>1</xdr:col>
                    <xdr:colOff>45720</xdr:colOff>
                    <xdr:row>82</xdr:row>
                    <xdr:rowOff>68580</xdr:rowOff>
                  </from>
                  <to>
                    <xdr:col>3</xdr:col>
                    <xdr:colOff>251460</xdr:colOff>
                    <xdr:row>84</xdr:row>
                    <xdr:rowOff>38100</xdr:rowOff>
                  </to>
                </anchor>
              </controlPr>
            </control>
          </mc:Choice>
        </mc:AlternateContent>
        <mc:AlternateContent xmlns:mc="http://schemas.openxmlformats.org/markup-compatibility/2006">
          <mc:Choice Requires="x14">
            <control shapeId="8261" r:id="rId26" name="Check Box 69">
              <controlPr defaultSize="0" autoFill="0" autoLine="0" autoPict="0">
                <anchor moveWithCells="1">
                  <from>
                    <xdr:col>12</xdr:col>
                    <xdr:colOff>45720</xdr:colOff>
                    <xdr:row>34</xdr:row>
                    <xdr:rowOff>152400</xdr:rowOff>
                  </from>
                  <to>
                    <xdr:col>13</xdr:col>
                    <xdr:colOff>464820</xdr:colOff>
                    <xdr:row>36</xdr:row>
                    <xdr:rowOff>22860</xdr:rowOff>
                  </to>
                </anchor>
              </controlPr>
            </control>
          </mc:Choice>
        </mc:AlternateContent>
        <mc:AlternateContent xmlns:mc="http://schemas.openxmlformats.org/markup-compatibility/2006">
          <mc:Choice Requires="x14">
            <control shapeId="8263" r:id="rId27" name="Check Box 71">
              <controlPr defaultSize="0" autoFill="0" autoLine="0" autoPict="0">
                <anchor moveWithCells="1">
                  <from>
                    <xdr:col>12</xdr:col>
                    <xdr:colOff>45720</xdr:colOff>
                    <xdr:row>37</xdr:row>
                    <xdr:rowOff>60960</xdr:rowOff>
                  </from>
                  <to>
                    <xdr:col>13</xdr:col>
                    <xdr:colOff>464820</xdr:colOff>
                    <xdr:row>39</xdr:row>
                    <xdr:rowOff>7620</xdr:rowOff>
                  </to>
                </anchor>
              </controlPr>
            </control>
          </mc:Choice>
        </mc:AlternateContent>
        <mc:AlternateContent xmlns:mc="http://schemas.openxmlformats.org/markup-compatibility/2006">
          <mc:Choice Requires="x14">
            <control shapeId="8266" r:id="rId28" name="Check Box 74">
              <controlPr defaultSize="0" autoFill="0" autoLine="0" autoPict="0">
                <anchor moveWithCells="1">
                  <from>
                    <xdr:col>1</xdr:col>
                    <xdr:colOff>38100</xdr:colOff>
                    <xdr:row>85</xdr:row>
                    <xdr:rowOff>160020</xdr:rowOff>
                  </from>
                  <to>
                    <xdr:col>3</xdr:col>
                    <xdr:colOff>236220</xdr:colOff>
                    <xdr:row>87</xdr:row>
                    <xdr:rowOff>22860</xdr:rowOff>
                  </to>
                </anchor>
              </controlPr>
            </control>
          </mc:Choice>
        </mc:AlternateContent>
        <mc:AlternateContent xmlns:mc="http://schemas.openxmlformats.org/markup-compatibility/2006">
          <mc:Choice Requires="x14">
            <control shapeId="8267" r:id="rId29" name="Check Box 75">
              <controlPr defaultSize="0" autoFill="0" autoLine="0" autoPict="0">
                <anchor moveWithCells="1">
                  <from>
                    <xdr:col>1</xdr:col>
                    <xdr:colOff>45720</xdr:colOff>
                    <xdr:row>88</xdr:row>
                    <xdr:rowOff>121920</xdr:rowOff>
                  </from>
                  <to>
                    <xdr:col>3</xdr:col>
                    <xdr:colOff>251460</xdr:colOff>
                    <xdr:row>90</xdr:row>
                    <xdr:rowOff>45720</xdr:rowOff>
                  </to>
                </anchor>
              </controlPr>
            </control>
          </mc:Choice>
        </mc:AlternateContent>
        <mc:AlternateContent xmlns:mc="http://schemas.openxmlformats.org/markup-compatibility/2006">
          <mc:Choice Requires="x14">
            <control shapeId="8268" r:id="rId30" name="Check Box 76">
              <controlPr defaultSize="0" autoFill="0" autoLine="0" autoPict="0">
                <anchor moveWithCells="1">
                  <from>
                    <xdr:col>1</xdr:col>
                    <xdr:colOff>38100</xdr:colOff>
                    <xdr:row>91</xdr:row>
                    <xdr:rowOff>160020</xdr:rowOff>
                  </from>
                  <to>
                    <xdr:col>3</xdr:col>
                    <xdr:colOff>236220</xdr:colOff>
                    <xdr:row>93</xdr:row>
                    <xdr:rowOff>22860</xdr:rowOff>
                  </to>
                </anchor>
              </controlPr>
            </control>
          </mc:Choice>
        </mc:AlternateContent>
        <mc:AlternateContent xmlns:mc="http://schemas.openxmlformats.org/markup-compatibility/2006">
          <mc:Choice Requires="x14">
            <control shapeId="8269" r:id="rId31" name="Check Box 77">
              <controlPr defaultSize="0" autoFill="0" autoLine="0" autoPict="0">
                <anchor moveWithCells="1">
                  <from>
                    <xdr:col>1</xdr:col>
                    <xdr:colOff>38100</xdr:colOff>
                    <xdr:row>93</xdr:row>
                    <xdr:rowOff>137160</xdr:rowOff>
                  </from>
                  <to>
                    <xdr:col>3</xdr:col>
                    <xdr:colOff>236220</xdr:colOff>
                    <xdr:row>95</xdr:row>
                    <xdr:rowOff>45720</xdr:rowOff>
                  </to>
                </anchor>
              </controlPr>
            </control>
          </mc:Choice>
        </mc:AlternateContent>
        <mc:AlternateContent xmlns:mc="http://schemas.openxmlformats.org/markup-compatibility/2006">
          <mc:Choice Requires="x14">
            <control shapeId="8271" r:id="rId32" name="Check Box 79">
              <controlPr defaultSize="0" autoFill="0" autoLine="0" autoPict="0">
                <anchor moveWithCells="1">
                  <from>
                    <xdr:col>1</xdr:col>
                    <xdr:colOff>38100</xdr:colOff>
                    <xdr:row>96</xdr:row>
                    <xdr:rowOff>137160</xdr:rowOff>
                  </from>
                  <to>
                    <xdr:col>3</xdr:col>
                    <xdr:colOff>236220</xdr:colOff>
                    <xdr:row>98</xdr:row>
                    <xdr:rowOff>45720</xdr:rowOff>
                  </to>
                </anchor>
              </controlPr>
            </control>
          </mc:Choice>
        </mc:AlternateContent>
        <mc:AlternateContent xmlns:mc="http://schemas.openxmlformats.org/markup-compatibility/2006">
          <mc:Choice Requires="x14">
            <control shapeId="8272" r:id="rId33" name="Check Box 80">
              <controlPr defaultSize="0" autoFill="0" autoLine="0" autoPict="0">
                <anchor moveWithCells="1">
                  <from>
                    <xdr:col>1</xdr:col>
                    <xdr:colOff>30480</xdr:colOff>
                    <xdr:row>98</xdr:row>
                    <xdr:rowOff>152400</xdr:rowOff>
                  </from>
                  <to>
                    <xdr:col>3</xdr:col>
                    <xdr:colOff>228600</xdr:colOff>
                    <xdr:row>100</xdr:row>
                    <xdr:rowOff>45720</xdr:rowOff>
                  </to>
                </anchor>
              </controlPr>
            </control>
          </mc:Choice>
        </mc:AlternateContent>
        <mc:AlternateContent xmlns:mc="http://schemas.openxmlformats.org/markup-compatibility/2006">
          <mc:Choice Requires="x14">
            <control shapeId="8273" r:id="rId34" name="Check Box 81">
              <controlPr defaultSize="0" autoFill="0" autoLine="0" autoPict="0">
                <anchor moveWithCells="1">
                  <from>
                    <xdr:col>1</xdr:col>
                    <xdr:colOff>22860</xdr:colOff>
                    <xdr:row>102</xdr:row>
                    <xdr:rowOff>182880</xdr:rowOff>
                  </from>
                  <to>
                    <xdr:col>3</xdr:col>
                    <xdr:colOff>220980</xdr:colOff>
                    <xdr:row>104</xdr:row>
                    <xdr:rowOff>38100</xdr:rowOff>
                  </to>
                </anchor>
              </controlPr>
            </control>
          </mc:Choice>
        </mc:AlternateContent>
        <mc:AlternateContent xmlns:mc="http://schemas.openxmlformats.org/markup-compatibility/2006">
          <mc:Choice Requires="x14">
            <control shapeId="8274" r:id="rId35" name="Check Box 82">
              <controlPr defaultSize="0" autoFill="0" autoLine="0" autoPict="0">
                <anchor moveWithCells="1">
                  <from>
                    <xdr:col>1</xdr:col>
                    <xdr:colOff>7620</xdr:colOff>
                    <xdr:row>104</xdr:row>
                    <xdr:rowOff>137160</xdr:rowOff>
                  </from>
                  <to>
                    <xdr:col>3</xdr:col>
                    <xdr:colOff>213360</xdr:colOff>
                    <xdr:row>106</xdr:row>
                    <xdr:rowOff>45720</xdr:rowOff>
                  </to>
                </anchor>
              </controlPr>
            </control>
          </mc:Choice>
        </mc:AlternateContent>
        <mc:AlternateContent xmlns:mc="http://schemas.openxmlformats.org/markup-compatibility/2006">
          <mc:Choice Requires="x14">
            <control shapeId="8275" r:id="rId36" name="Check Box 83">
              <controlPr defaultSize="0" autoFill="0" autoLine="0" autoPict="0">
                <anchor moveWithCells="1">
                  <from>
                    <xdr:col>1</xdr:col>
                    <xdr:colOff>22860</xdr:colOff>
                    <xdr:row>107</xdr:row>
                    <xdr:rowOff>137160</xdr:rowOff>
                  </from>
                  <to>
                    <xdr:col>3</xdr:col>
                    <xdr:colOff>220980</xdr:colOff>
                    <xdr:row>109</xdr:row>
                    <xdr:rowOff>45720</xdr:rowOff>
                  </to>
                </anchor>
              </controlPr>
            </control>
          </mc:Choice>
        </mc:AlternateContent>
        <mc:AlternateContent xmlns:mc="http://schemas.openxmlformats.org/markup-compatibility/2006">
          <mc:Choice Requires="x14">
            <control shapeId="8276" r:id="rId37" name="Check Box 84">
              <controlPr defaultSize="0" autoFill="0" autoLine="0" autoPict="0">
                <anchor moveWithCells="1">
                  <from>
                    <xdr:col>1</xdr:col>
                    <xdr:colOff>22860</xdr:colOff>
                    <xdr:row>110</xdr:row>
                    <xdr:rowOff>144780</xdr:rowOff>
                  </from>
                  <to>
                    <xdr:col>3</xdr:col>
                    <xdr:colOff>220980</xdr:colOff>
                    <xdr:row>112</xdr:row>
                    <xdr:rowOff>45720</xdr:rowOff>
                  </to>
                </anchor>
              </controlPr>
            </control>
          </mc:Choice>
        </mc:AlternateContent>
        <mc:AlternateContent xmlns:mc="http://schemas.openxmlformats.org/markup-compatibility/2006">
          <mc:Choice Requires="x14">
            <control shapeId="8277" r:id="rId38" name="Check Box 85">
              <controlPr defaultSize="0" autoFill="0" autoLine="0" autoPict="0">
                <anchor moveWithCells="1">
                  <from>
                    <xdr:col>1</xdr:col>
                    <xdr:colOff>38100</xdr:colOff>
                    <xdr:row>117</xdr:row>
                    <xdr:rowOff>137160</xdr:rowOff>
                  </from>
                  <to>
                    <xdr:col>3</xdr:col>
                    <xdr:colOff>236220</xdr:colOff>
                    <xdr:row>119</xdr:row>
                    <xdr:rowOff>45720</xdr:rowOff>
                  </to>
                </anchor>
              </controlPr>
            </control>
          </mc:Choice>
        </mc:AlternateContent>
        <mc:AlternateContent xmlns:mc="http://schemas.openxmlformats.org/markup-compatibility/2006">
          <mc:Choice Requires="x14">
            <control shapeId="8279" r:id="rId39" name="Check Box 87">
              <controlPr defaultSize="0" autoFill="0" autoLine="0" autoPict="0">
                <anchor moveWithCells="1">
                  <from>
                    <xdr:col>1</xdr:col>
                    <xdr:colOff>22860</xdr:colOff>
                    <xdr:row>122</xdr:row>
                    <xdr:rowOff>175260</xdr:rowOff>
                  </from>
                  <to>
                    <xdr:col>3</xdr:col>
                    <xdr:colOff>220980</xdr:colOff>
                    <xdr:row>124</xdr:row>
                    <xdr:rowOff>30480</xdr:rowOff>
                  </to>
                </anchor>
              </controlPr>
            </control>
          </mc:Choice>
        </mc:AlternateContent>
        <mc:AlternateContent xmlns:mc="http://schemas.openxmlformats.org/markup-compatibility/2006">
          <mc:Choice Requires="x14">
            <control shapeId="8280" r:id="rId40" name="Check Box 88">
              <controlPr defaultSize="0" autoFill="0" autoLine="0" autoPict="0">
                <anchor moveWithCells="1">
                  <from>
                    <xdr:col>1</xdr:col>
                    <xdr:colOff>22860</xdr:colOff>
                    <xdr:row>124</xdr:row>
                    <xdr:rowOff>144780</xdr:rowOff>
                  </from>
                  <to>
                    <xdr:col>3</xdr:col>
                    <xdr:colOff>220980</xdr:colOff>
                    <xdr:row>126</xdr:row>
                    <xdr:rowOff>45720</xdr:rowOff>
                  </to>
                </anchor>
              </controlPr>
            </control>
          </mc:Choice>
        </mc:AlternateContent>
        <mc:AlternateContent xmlns:mc="http://schemas.openxmlformats.org/markup-compatibility/2006">
          <mc:Choice Requires="x14">
            <control shapeId="8281" r:id="rId41" name="Check Box 89">
              <controlPr defaultSize="0" autoFill="0" autoLine="0" autoPict="0">
                <anchor moveWithCells="1">
                  <from>
                    <xdr:col>1</xdr:col>
                    <xdr:colOff>7620</xdr:colOff>
                    <xdr:row>127</xdr:row>
                    <xdr:rowOff>144780</xdr:rowOff>
                  </from>
                  <to>
                    <xdr:col>3</xdr:col>
                    <xdr:colOff>213360</xdr:colOff>
                    <xdr:row>129</xdr:row>
                    <xdr:rowOff>45720</xdr:rowOff>
                  </to>
                </anchor>
              </controlPr>
            </control>
          </mc:Choice>
        </mc:AlternateContent>
        <mc:AlternateContent xmlns:mc="http://schemas.openxmlformats.org/markup-compatibility/2006">
          <mc:Choice Requires="x14">
            <control shapeId="8282" r:id="rId42" name="Check Box 90">
              <controlPr defaultSize="0" autoFill="0" autoLine="0" autoPict="0">
                <anchor moveWithCells="1">
                  <from>
                    <xdr:col>1</xdr:col>
                    <xdr:colOff>22860</xdr:colOff>
                    <xdr:row>132</xdr:row>
                    <xdr:rowOff>121920</xdr:rowOff>
                  </from>
                  <to>
                    <xdr:col>3</xdr:col>
                    <xdr:colOff>220980</xdr:colOff>
                    <xdr:row>134</xdr:row>
                    <xdr:rowOff>45720</xdr:rowOff>
                  </to>
                </anchor>
              </controlPr>
            </control>
          </mc:Choice>
        </mc:AlternateContent>
        <mc:AlternateContent xmlns:mc="http://schemas.openxmlformats.org/markup-compatibility/2006">
          <mc:Choice Requires="x14">
            <control shapeId="8283" r:id="rId43" name="Check Box 91">
              <controlPr defaultSize="0" autoFill="0" autoLine="0" autoPict="0">
                <anchor moveWithCells="1">
                  <from>
                    <xdr:col>1</xdr:col>
                    <xdr:colOff>22860</xdr:colOff>
                    <xdr:row>134</xdr:row>
                    <xdr:rowOff>137160</xdr:rowOff>
                  </from>
                  <to>
                    <xdr:col>3</xdr:col>
                    <xdr:colOff>220980</xdr:colOff>
                    <xdr:row>136</xdr:row>
                    <xdr:rowOff>45720</xdr:rowOff>
                  </to>
                </anchor>
              </controlPr>
            </control>
          </mc:Choice>
        </mc:AlternateContent>
        <mc:AlternateContent xmlns:mc="http://schemas.openxmlformats.org/markup-compatibility/2006">
          <mc:Choice Requires="x14">
            <control shapeId="8284" r:id="rId44" name="Check Box 92">
              <controlPr defaultSize="0" autoFill="0" autoLine="0" autoPict="0">
                <anchor moveWithCells="1">
                  <from>
                    <xdr:col>1</xdr:col>
                    <xdr:colOff>38100</xdr:colOff>
                    <xdr:row>138</xdr:row>
                    <xdr:rowOff>144780</xdr:rowOff>
                  </from>
                  <to>
                    <xdr:col>3</xdr:col>
                    <xdr:colOff>236220</xdr:colOff>
                    <xdr:row>140</xdr:row>
                    <xdr:rowOff>45720</xdr:rowOff>
                  </to>
                </anchor>
              </controlPr>
            </control>
          </mc:Choice>
        </mc:AlternateContent>
        <mc:AlternateContent xmlns:mc="http://schemas.openxmlformats.org/markup-compatibility/2006">
          <mc:Choice Requires="x14">
            <control shapeId="8292" r:id="rId45" name="Check Box 100">
              <controlPr defaultSize="0" autoFill="0" autoLine="0" autoPict="0">
                <anchor moveWithCells="1">
                  <from>
                    <xdr:col>12</xdr:col>
                    <xdr:colOff>7620</xdr:colOff>
                    <xdr:row>161</xdr:row>
                    <xdr:rowOff>327660</xdr:rowOff>
                  </from>
                  <to>
                    <xdr:col>13</xdr:col>
                    <xdr:colOff>419100</xdr:colOff>
                    <xdr:row>163</xdr:row>
                    <xdr:rowOff>30480</xdr:rowOff>
                  </to>
                </anchor>
              </controlPr>
            </control>
          </mc:Choice>
        </mc:AlternateContent>
        <mc:AlternateContent xmlns:mc="http://schemas.openxmlformats.org/markup-compatibility/2006">
          <mc:Choice Requires="x14">
            <control shapeId="8293" r:id="rId46" name="Check Box 101">
              <controlPr defaultSize="0" autoFill="0" autoLine="0" autoPict="0">
                <anchor moveWithCells="1">
                  <from>
                    <xdr:col>1</xdr:col>
                    <xdr:colOff>7620</xdr:colOff>
                    <xdr:row>172</xdr:row>
                    <xdr:rowOff>312420</xdr:rowOff>
                  </from>
                  <to>
                    <xdr:col>3</xdr:col>
                    <xdr:colOff>121920</xdr:colOff>
                    <xdr:row>174</xdr:row>
                    <xdr:rowOff>30480</xdr:rowOff>
                  </to>
                </anchor>
              </controlPr>
            </control>
          </mc:Choice>
        </mc:AlternateContent>
        <mc:AlternateContent xmlns:mc="http://schemas.openxmlformats.org/markup-compatibility/2006">
          <mc:Choice Requires="x14">
            <control shapeId="8294" r:id="rId47" name="Check Box 102">
              <controlPr defaultSize="0" autoFill="0" autoLine="0" autoPict="0">
                <anchor moveWithCells="1">
                  <from>
                    <xdr:col>1</xdr:col>
                    <xdr:colOff>30480</xdr:colOff>
                    <xdr:row>175</xdr:row>
                    <xdr:rowOff>144780</xdr:rowOff>
                  </from>
                  <to>
                    <xdr:col>3</xdr:col>
                    <xdr:colOff>144780</xdr:colOff>
                    <xdr:row>177</xdr:row>
                    <xdr:rowOff>45720</xdr:rowOff>
                  </to>
                </anchor>
              </controlPr>
            </control>
          </mc:Choice>
        </mc:AlternateContent>
        <mc:AlternateContent xmlns:mc="http://schemas.openxmlformats.org/markup-compatibility/2006">
          <mc:Choice Requires="x14">
            <control shapeId="8297" r:id="rId48" name="Check Box 105">
              <controlPr defaultSize="0" autoFill="0" autoLine="0" autoPict="0">
                <anchor moveWithCells="1">
                  <from>
                    <xdr:col>12</xdr:col>
                    <xdr:colOff>7620</xdr:colOff>
                    <xdr:row>172</xdr:row>
                    <xdr:rowOff>327660</xdr:rowOff>
                  </from>
                  <to>
                    <xdr:col>13</xdr:col>
                    <xdr:colOff>419100</xdr:colOff>
                    <xdr:row>174</xdr:row>
                    <xdr:rowOff>30480</xdr:rowOff>
                  </to>
                </anchor>
              </controlPr>
            </control>
          </mc:Choice>
        </mc:AlternateContent>
        <mc:AlternateContent xmlns:mc="http://schemas.openxmlformats.org/markup-compatibility/2006">
          <mc:Choice Requires="x14">
            <control shapeId="8301" r:id="rId49" name="Check Box 109">
              <controlPr defaultSize="0" autoFill="0" autoLine="0" autoPict="0">
                <anchor moveWithCells="1">
                  <from>
                    <xdr:col>1</xdr:col>
                    <xdr:colOff>7620</xdr:colOff>
                    <xdr:row>180</xdr:row>
                    <xdr:rowOff>312420</xdr:rowOff>
                  </from>
                  <to>
                    <xdr:col>3</xdr:col>
                    <xdr:colOff>121920</xdr:colOff>
                    <xdr:row>182</xdr:row>
                    <xdr:rowOff>30480</xdr:rowOff>
                  </to>
                </anchor>
              </controlPr>
            </control>
          </mc:Choice>
        </mc:AlternateContent>
        <mc:AlternateContent xmlns:mc="http://schemas.openxmlformats.org/markup-compatibility/2006">
          <mc:Choice Requires="x14">
            <control shapeId="8302" r:id="rId50" name="Check Box 110">
              <controlPr defaultSize="0" autoFill="0" autoLine="0" autoPict="0">
                <anchor moveWithCells="1">
                  <from>
                    <xdr:col>1</xdr:col>
                    <xdr:colOff>30480</xdr:colOff>
                    <xdr:row>183</xdr:row>
                    <xdr:rowOff>144780</xdr:rowOff>
                  </from>
                  <to>
                    <xdr:col>3</xdr:col>
                    <xdr:colOff>144780</xdr:colOff>
                    <xdr:row>185</xdr:row>
                    <xdr:rowOff>45720</xdr:rowOff>
                  </to>
                </anchor>
              </controlPr>
            </control>
          </mc:Choice>
        </mc:AlternateContent>
        <mc:AlternateContent xmlns:mc="http://schemas.openxmlformats.org/markup-compatibility/2006">
          <mc:Choice Requires="x14">
            <control shapeId="8303" r:id="rId51" name="Check Box 111">
              <controlPr defaultSize="0" autoFill="0" autoLine="0" autoPict="0">
                <anchor moveWithCells="1">
                  <from>
                    <xdr:col>12</xdr:col>
                    <xdr:colOff>7620</xdr:colOff>
                    <xdr:row>180</xdr:row>
                    <xdr:rowOff>327660</xdr:rowOff>
                  </from>
                  <to>
                    <xdr:col>13</xdr:col>
                    <xdr:colOff>419100</xdr:colOff>
                    <xdr:row>182</xdr:row>
                    <xdr:rowOff>30480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dimension ref="B1:U173"/>
  <sheetViews>
    <sheetView zoomScaleNormal="100" workbookViewId="0">
      <selection activeCell="F24" sqref="F24:H24"/>
    </sheetView>
  </sheetViews>
  <sheetFormatPr defaultColWidth="11.44140625" defaultRowHeight="13.2"/>
  <cols>
    <col min="1" max="2" width="3.6640625" style="1" customWidth="1"/>
    <col min="3" max="3" width="3.44140625" style="1" customWidth="1"/>
    <col min="4" max="4" width="20.44140625" style="1" customWidth="1"/>
    <col min="5" max="5" width="11.6640625" style="1" bestFit="1" customWidth="1"/>
    <col min="6" max="6" width="4.5546875" style="1" customWidth="1"/>
    <col min="7" max="7" width="11.44140625" style="1"/>
    <col min="8" max="8" width="13.109375" style="1" customWidth="1"/>
    <col min="9" max="10" width="11.44140625" style="1"/>
    <col min="11" max="11" width="2.88671875" style="1" customWidth="1"/>
    <col min="12" max="12" width="8.5546875" style="17" hidden="1" customWidth="1"/>
    <col min="13" max="13" width="3.109375" style="1" customWidth="1"/>
    <col min="14" max="14" width="12.33203125" style="1" bestFit="1" customWidth="1"/>
    <col min="15" max="17" width="11.44140625" style="1"/>
    <col min="18" max="18" width="12.44140625" style="20" hidden="1" customWidth="1"/>
    <col min="19" max="19" width="16.33203125" style="86" bestFit="1" customWidth="1"/>
    <col min="20" max="16384" width="11.44140625" style="1"/>
  </cols>
  <sheetData>
    <row r="1" spans="2:19" ht="13.8">
      <c r="L1" s="34"/>
      <c r="M1" s="373" t="s">
        <v>248</v>
      </c>
      <c r="N1" s="373"/>
      <c r="O1" s="373"/>
      <c r="P1" s="373"/>
      <c r="Q1" s="373"/>
      <c r="R1" s="59"/>
      <c r="S1" s="64" t="s">
        <v>253</v>
      </c>
    </row>
    <row r="2" spans="2:19" ht="28.5" customHeight="1">
      <c r="B2" s="377" t="s">
        <v>254</v>
      </c>
      <c r="C2" s="377"/>
      <c r="D2" s="377"/>
      <c r="E2" s="377"/>
      <c r="F2" s="377"/>
      <c r="G2" s="377"/>
      <c r="H2" s="377"/>
      <c r="I2" s="377"/>
      <c r="J2" s="377"/>
      <c r="K2" s="377"/>
      <c r="L2" s="377"/>
      <c r="M2" s="378"/>
      <c r="N2" s="378"/>
      <c r="O2" s="378"/>
      <c r="P2" s="378"/>
      <c r="Q2" s="378"/>
      <c r="R2" s="18"/>
      <c r="S2" s="58" t="str">
        <f>IF(AND(S3="a",S11="a"),"Compliant","Not Compliant")</f>
        <v>Not Compliant</v>
      </c>
    </row>
    <row r="3" spans="2:19" ht="14.25" customHeight="1">
      <c r="B3" s="36"/>
      <c r="C3" s="416" t="s">
        <v>256</v>
      </c>
      <c r="D3" s="416"/>
      <c r="E3" s="416"/>
      <c r="F3" s="416"/>
      <c r="G3" s="416"/>
      <c r="H3" s="416"/>
      <c r="I3" s="416"/>
      <c r="J3" s="416"/>
      <c r="K3" s="37"/>
      <c r="L3" s="180" t="str">
        <f>IF(OR(G10&gt;0.95,G10=0.95),"Ok","No Ok")</f>
        <v>Ok</v>
      </c>
      <c r="M3" s="28"/>
      <c r="N3" s="384" t="str">
        <f>IF(L12=FALSE,"Documentation for the biodegradability and aquatic toxicity values","")</f>
        <v>Documentation for the biodegradability and aquatic toxicity values</v>
      </c>
      <c r="O3" s="384"/>
      <c r="P3" s="384"/>
      <c r="Q3" s="385"/>
      <c r="R3" s="19"/>
      <c r="S3" s="360" t="str">
        <f>IF(AND(L10=TRUE,L3="Ok"),"a","r")</f>
        <v>r</v>
      </c>
    </row>
    <row r="4" spans="2:19" ht="12.75" customHeight="1">
      <c r="B4" s="38"/>
      <c r="C4" s="403"/>
      <c r="D4" s="403"/>
      <c r="E4" s="403"/>
      <c r="F4" s="403"/>
      <c r="G4" s="403"/>
      <c r="H4" s="403"/>
      <c r="I4" s="403"/>
      <c r="J4" s="403"/>
      <c r="K4" s="17"/>
      <c r="L4" s="182"/>
      <c r="M4" s="24"/>
      <c r="N4" s="374"/>
      <c r="O4" s="374"/>
      <c r="P4" s="374"/>
      <c r="Q4" s="386"/>
      <c r="S4" s="361"/>
    </row>
    <row r="5" spans="2:19" ht="14.25" customHeight="1">
      <c r="B5" s="38"/>
      <c r="C5" s="188" t="s">
        <v>257</v>
      </c>
      <c r="D5" s="95" t="s">
        <v>267</v>
      </c>
      <c r="E5" s="17"/>
      <c r="F5" s="17"/>
      <c r="G5" s="17"/>
      <c r="H5" s="17"/>
      <c r="I5" s="17"/>
      <c r="J5" s="17"/>
      <c r="K5" s="17"/>
      <c r="L5" s="182"/>
      <c r="M5" s="24"/>
      <c r="N5" s="374" t="str">
        <f>IF(L10=TRUE,"Information showing bioaccumulation potential and bioavailability specifications (if apply)","")</f>
        <v/>
      </c>
      <c r="O5" s="374"/>
      <c r="P5" s="374"/>
      <c r="Q5" s="386"/>
      <c r="R5" s="20" t="b">
        <v>0</v>
      </c>
      <c r="S5" s="361"/>
    </row>
    <row r="6" spans="2:19" ht="14.25" customHeight="1">
      <c r="B6" s="38"/>
      <c r="C6" s="188" t="s">
        <v>257</v>
      </c>
      <c r="D6" s="17" t="s">
        <v>268</v>
      </c>
      <c r="E6" s="17"/>
      <c r="F6" s="17"/>
      <c r="G6" s="17"/>
      <c r="H6" s="17"/>
      <c r="I6" s="17"/>
      <c r="J6" s="17"/>
      <c r="K6" s="17"/>
      <c r="L6" s="182"/>
      <c r="M6" s="24"/>
      <c r="N6" s="374"/>
      <c r="O6" s="374"/>
      <c r="P6" s="374"/>
      <c r="Q6" s="386"/>
      <c r="S6" s="361"/>
    </row>
    <row r="7" spans="2:19" ht="14.25" customHeight="1">
      <c r="B7" s="38"/>
      <c r="C7" s="188" t="s">
        <v>257</v>
      </c>
      <c r="D7" s="17" t="s">
        <v>269</v>
      </c>
      <c r="E7" s="17"/>
      <c r="F7" s="17"/>
      <c r="G7" s="17"/>
      <c r="H7" s="17"/>
      <c r="I7" s="17"/>
      <c r="J7" s="17"/>
      <c r="K7" s="17"/>
      <c r="L7" s="182"/>
      <c r="M7" s="24"/>
      <c r="N7" s="72"/>
      <c r="O7" s="72"/>
      <c r="P7" s="72"/>
      <c r="Q7" s="93"/>
      <c r="S7" s="361"/>
    </row>
    <row r="8" spans="2:19" ht="14.25" customHeight="1">
      <c r="B8" s="38"/>
      <c r="C8" s="188" t="s">
        <v>257</v>
      </c>
      <c r="D8" s="17" t="s">
        <v>270</v>
      </c>
      <c r="E8" s="17"/>
      <c r="F8" s="17"/>
      <c r="G8" s="17"/>
      <c r="H8" s="17"/>
      <c r="I8" s="17"/>
      <c r="J8" s="17"/>
      <c r="K8" s="17"/>
      <c r="L8" s="182"/>
      <c r="M8" s="24"/>
      <c r="N8" s="72"/>
      <c r="O8" s="72"/>
      <c r="P8" s="72"/>
      <c r="Q8" s="93"/>
      <c r="S8" s="361"/>
    </row>
    <row r="9" spans="2:19" ht="6" customHeight="1">
      <c r="B9" s="38"/>
      <c r="C9" s="17"/>
      <c r="D9" s="17"/>
      <c r="E9" s="17"/>
      <c r="F9" s="17"/>
      <c r="G9" s="17"/>
      <c r="H9" s="17"/>
      <c r="I9" s="17"/>
      <c r="J9" s="17"/>
      <c r="K9" s="17"/>
      <c r="L9" s="181"/>
      <c r="M9" s="24"/>
      <c r="N9" s="72"/>
      <c r="O9" s="72"/>
      <c r="P9" s="72"/>
      <c r="Q9" s="93"/>
      <c r="S9" s="361"/>
    </row>
    <row r="10" spans="2:19" s="11" customFormat="1" ht="23.25" customHeight="1">
      <c r="B10" s="39"/>
      <c r="C10" s="417" t="s">
        <v>258</v>
      </c>
      <c r="D10" s="418"/>
      <c r="E10" s="418"/>
      <c r="F10" s="419"/>
      <c r="G10" s="174" t="str">
        <f>'Results 3'!I60</f>
        <v>0</v>
      </c>
      <c r="H10" s="177"/>
      <c r="I10" s="177"/>
      <c r="J10" s="177"/>
      <c r="K10" s="177"/>
      <c r="L10" s="182" t="b">
        <v>0</v>
      </c>
      <c r="M10" s="29"/>
      <c r="N10" s="72"/>
      <c r="O10" s="72"/>
      <c r="P10" s="72"/>
      <c r="Q10" s="93"/>
      <c r="R10" s="21"/>
      <c r="S10" s="361"/>
    </row>
    <row r="11" spans="2:19" ht="6" customHeight="1">
      <c r="B11" s="38"/>
      <c r="C11" s="17"/>
      <c r="D11" s="17"/>
      <c r="E11" s="17"/>
      <c r="F11" s="17"/>
      <c r="G11" s="17"/>
      <c r="H11" s="17"/>
      <c r="I11" s="17"/>
      <c r="J11" s="17"/>
      <c r="K11" s="17"/>
      <c r="L11" s="181"/>
      <c r="M11" s="24"/>
      <c r="Q11" s="32"/>
      <c r="S11" s="360" t="str">
        <f>IF(L12=TRUE,"a",(IF(R12=TRUE,"a","r")))</f>
        <v>r</v>
      </c>
    </row>
    <row r="12" spans="2:19">
      <c r="B12" s="38"/>
      <c r="C12" s="17" t="s">
        <v>180</v>
      </c>
      <c r="D12" s="17"/>
      <c r="E12" s="17"/>
      <c r="F12" s="17"/>
      <c r="G12" s="17"/>
      <c r="H12" s="17"/>
      <c r="I12" s="17"/>
      <c r="J12" s="17"/>
      <c r="K12" s="17"/>
      <c r="L12" s="181" t="b">
        <v>0</v>
      </c>
      <c r="M12" s="24"/>
      <c r="N12" s="354"/>
      <c r="O12" s="354"/>
      <c r="P12" s="354"/>
      <c r="Q12" s="388"/>
      <c r="R12" s="186" t="b">
        <v>0</v>
      </c>
      <c r="S12" s="361"/>
    </row>
    <row r="13" spans="2:19" ht="6" customHeight="1">
      <c r="B13" s="40"/>
      <c r="C13" s="41"/>
      <c r="D13" s="41"/>
      <c r="E13" s="41"/>
      <c r="F13" s="41"/>
      <c r="G13" s="41"/>
      <c r="H13" s="41"/>
      <c r="I13" s="41"/>
      <c r="J13" s="41"/>
      <c r="K13" s="41"/>
      <c r="L13" s="41"/>
      <c r="M13" s="33"/>
      <c r="N13" s="389"/>
      <c r="O13" s="389"/>
      <c r="P13" s="389"/>
      <c r="Q13" s="390"/>
      <c r="R13" s="22"/>
      <c r="S13" s="362"/>
    </row>
    <row r="14" spans="2:19" ht="14.4">
      <c r="L14" s="1"/>
      <c r="N14" s="25"/>
      <c r="O14" s="25"/>
      <c r="P14" s="25"/>
      <c r="Q14" s="25"/>
      <c r="R14" s="2"/>
      <c r="S14" s="27"/>
    </row>
    <row r="15" spans="2:19" ht="27" customHeight="1">
      <c r="B15" s="377" t="s">
        <v>166</v>
      </c>
      <c r="C15" s="377"/>
      <c r="D15" s="377"/>
      <c r="E15" s="377"/>
      <c r="F15" s="377"/>
      <c r="G15" s="377"/>
      <c r="H15" s="377"/>
      <c r="I15" s="377"/>
      <c r="J15" s="377"/>
      <c r="K15" s="377"/>
      <c r="L15" s="377"/>
      <c r="M15" s="377"/>
      <c r="N15" s="377"/>
      <c r="O15" s="377"/>
      <c r="P15" s="377"/>
      <c r="Q15" s="377"/>
      <c r="R15" s="377"/>
      <c r="S15" s="377"/>
    </row>
    <row r="16" spans="2:19" ht="15">
      <c r="B16" s="35" t="s">
        <v>164</v>
      </c>
      <c r="C16" s="13" t="s">
        <v>189</v>
      </c>
      <c r="D16" s="12"/>
      <c r="E16" s="12"/>
      <c r="F16" s="12"/>
      <c r="G16" s="12"/>
      <c r="H16" s="12"/>
      <c r="I16" s="12"/>
      <c r="J16" s="14"/>
      <c r="K16" s="14"/>
      <c r="M16" s="24"/>
      <c r="R16" s="56"/>
      <c r="S16" s="63" t="str">
        <f>IF(AND(S17="Compliant",S36="Compliant",S48="Compliant",S62="Compliant",S72="Compliant",OR(S78="Compliant",S78="Does not apply"),OR(S89="Compliant",S89="Does not apply"),OR(S109="Compliant",S109="Does not apply"),OR(S131="Compliant",S131="Does not apply")),"Complaint","Not Compliant")</f>
        <v>Not Compliant</v>
      </c>
    </row>
    <row r="17" spans="2:21">
      <c r="B17" s="76" t="s">
        <v>167</v>
      </c>
      <c r="C17" s="77" t="s">
        <v>190</v>
      </c>
      <c r="D17" s="91"/>
      <c r="E17" s="91"/>
      <c r="F17" s="91"/>
      <c r="G17" s="91"/>
      <c r="H17" s="91"/>
      <c r="I17" s="91"/>
      <c r="J17" s="37"/>
      <c r="K17" s="87"/>
      <c r="L17" s="181"/>
      <c r="M17" s="24"/>
      <c r="R17" s="56"/>
      <c r="S17" s="63" t="str">
        <f>IF(AND(S18="a",S21="y",S29="y"),"Compliant",(IF(AND(S18="a",S21="a",S29="y"),"Compliant",(IF(AND(S18="a",S21="a",S29="a"),"Compliant","Not Compliant")))))</f>
        <v>Not Compliant</v>
      </c>
    </row>
    <row r="18" spans="2:21" ht="12.75" customHeight="1">
      <c r="B18" s="38"/>
      <c r="C18" s="380" t="s">
        <v>191</v>
      </c>
      <c r="D18" s="380"/>
      <c r="E18" s="380"/>
      <c r="F18" s="380"/>
      <c r="G18" s="380"/>
      <c r="H18" s="380"/>
      <c r="I18" s="380"/>
      <c r="J18" s="380"/>
      <c r="K18" s="88"/>
      <c r="L18" s="181" t="b">
        <v>0</v>
      </c>
      <c r="M18" s="24"/>
      <c r="N18" s="1" t="s">
        <v>249</v>
      </c>
      <c r="R18" s="185" t="b">
        <v>1</v>
      </c>
      <c r="S18" s="402" t="str">
        <f>IF(AND(L18=TRUE,R18=TRUE,R21=TRUE),"a","r")</f>
        <v>r</v>
      </c>
    </row>
    <row r="19" spans="2:21">
      <c r="B19" s="38"/>
      <c r="C19" s="380"/>
      <c r="D19" s="380"/>
      <c r="E19" s="380"/>
      <c r="F19" s="380"/>
      <c r="G19" s="380"/>
      <c r="H19" s="380"/>
      <c r="I19" s="380"/>
      <c r="J19" s="380"/>
      <c r="K19" s="88"/>
      <c r="L19" s="181"/>
      <c r="M19" s="24"/>
      <c r="R19" s="185"/>
      <c r="S19" s="402"/>
    </row>
    <row r="20" spans="2:21" ht="6" customHeight="1">
      <c r="B20" s="38"/>
      <c r="C20" s="17"/>
      <c r="D20" s="17"/>
      <c r="E20" s="17"/>
      <c r="F20" s="17"/>
      <c r="G20" s="17"/>
      <c r="H20" s="17"/>
      <c r="I20" s="17"/>
      <c r="J20" s="17"/>
      <c r="K20" s="88"/>
      <c r="L20" s="181"/>
      <c r="M20" s="24"/>
      <c r="R20" s="185"/>
      <c r="S20" s="402"/>
    </row>
    <row r="21" spans="2:21">
      <c r="B21" s="38"/>
      <c r="C21" s="17" t="s">
        <v>192</v>
      </c>
      <c r="D21" s="17"/>
      <c r="E21" s="17"/>
      <c r="F21" s="17"/>
      <c r="G21" s="17"/>
      <c r="H21" s="17"/>
      <c r="I21" s="17"/>
      <c r="J21" s="17"/>
      <c r="K21" s="88"/>
      <c r="L21" s="181" t="b">
        <v>0</v>
      </c>
      <c r="M21" s="24"/>
      <c r="N21" s="1" t="s">
        <v>278</v>
      </c>
      <c r="R21" s="185" t="b">
        <v>1</v>
      </c>
      <c r="S21" s="402" t="str">
        <f>IF(L21=TRUE,"a","y")</f>
        <v>y</v>
      </c>
    </row>
    <row r="22" spans="2:21" ht="6" customHeight="1">
      <c r="B22" s="38"/>
      <c r="C22" s="17"/>
      <c r="D22" s="17"/>
      <c r="E22" s="17"/>
      <c r="F22" s="17"/>
      <c r="G22" s="17"/>
      <c r="H22" s="17"/>
      <c r="I22" s="17"/>
      <c r="J22" s="17"/>
      <c r="K22" s="88"/>
      <c r="L22" s="181"/>
      <c r="M22" s="24"/>
      <c r="R22" s="185"/>
      <c r="S22" s="402"/>
    </row>
    <row r="23" spans="2:21" ht="26.4">
      <c r="B23" s="38"/>
      <c r="C23" s="17"/>
      <c r="D23" s="65" t="s">
        <v>228</v>
      </c>
      <c r="E23" s="66" t="s">
        <v>40</v>
      </c>
      <c r="F23" s="387" t="s">
        <v>242</v>
      </c>
      <c r="G23" s="387"/>
      <c r="H23" s="387"/>
      <c r="I23" s="393" t="s">
        <v>247</v>
      </c>
      <c r="J23" s="393"/>
      <c r="K23" s="88"/>
      <c r="L23" s="181"/>
      <c r="M23" s="24"/>
      <c r="R23" s="56"/>
      <c r="S23" s="402"/>
      <c r="U23" s="75"/>
    </row>
    <row r="24" spans="2:21" ht="15.75" customHeight="1">
      <c r="B24" s="38"/>
      <c r="C24" s="17"/>
      <c r="D24" s="397" t="s">
        <v>229</v>
      </c>
      <c r="E24" s="394" t="s">
        <v>239</v>
      </c>
      <c r="F24" s="381"/>
      <c r="G24" s="382"/>
      <c r="H24" s="383"/>
      <c r="I24" s="381"/>
      <c r="J24" s="383"/>
      <c r="K24" s="88"/>
      <c r="L24" s="181"/>
      <c r="M24" s="24"/>
      <c r="R24" s="56"/>
      <c r="S24" s="402"/>
    </row>
    <row r="25" spans="2:21" ht="15.75" customHeight="1">
      <c r="B25" s="38"/>
      <c r="C25" s="17"/>
      <c r="D25" s="398"/>
      <c r="E25" s="395"/>
      <c r="F25" s="381"/>
      <c r="G25" s="382"/>
      <c r="H25" s="383"/>
      <c r="I25" s="381"/>
      <c r="J25" s="383"/>
      <c r="K25" s="88"/>
      <c r="L25" s="181"/>
      <c r="M25" s="24"/>
      <c r="R25" s="56"/>
      <c r="S25" s="402"/>
    </row>
    <row r="26" spans="2:21" ht="15.75" customHeight="1">
      <c r="B26" s="38"/>
      <c r="C26" s="17"/>
      <c r="D26" s="398"/>
      <c r="E26" s="395"/>
      <c r="F26" s="411"/>
      <c r="G26" s="414"/>
      <c r="H26" s="412"/>
      <c r="I26" s="411"/>
      <c r="J26" s="412"/>
      <c r="K26" s="88"/>
      <c r="L26" s="181"/>
      <c r="M26" s="24"/>
      <c r="R26" s="56"/>
      <c r="S26" s="402"/>
    </row>
    <row r="27" spans="2:21" ht="15.75" customHeight="1">
      <c r="B27" s="38"/>
      <c r="C27" s="17"/>
      <c r="D27" s="252"/>
      <c r="E27" s="253"/>
      <c r="F27" s="413"/>
      <c r="G27" s="413"/>
      <c r="H27" s="413"/>
      <c r="I27" s="413"/>
      <c r="J27" s="413"/>
      <c r="K27" s="88"/>
      <c r="L27" s="181"/>
      <c r="M27" s="24"/>
      <c r="R27" s="56"/>
      <c r="S27" s="402"/>
    </row>
    <row r="28" spans="2:21" ht="6" customHeight="1">
      <c r="B28" s="38"/>
      <c r="C28" s="17"/>
      <c r="D28" s="17"/>
      <c r="E28" s="17"/>
      <c r="F28" s="17"/>
      <c r="G28" s="17"/>
      <c r="H28" s="17"/>
      <c r="I28" s="17"/>
      <c r="J28" s="17"/>
      <c r="K28" s="88"/>
      <c r="L28" s="181"/>
      <c r="M28" s="24"/>
      <c r="R28" s="56"/>
      <c r="S28" s="402"/>
    </row>
    <row r="29" spans="2:21">
      <c r="B29" s="38"/>
      <c r="C29" s="17" t="s">
        <v>193</v>
      </c>
      <c r="D29" s="17"/>
      <c r="E29" s="17"/>
      <c r="F29" s="17"/>
      <c r="G29" s="17"/>
      <c r="H29" s="17"/>
      <c r="I29" s="17"/>
      <c r="J29" s="17"/>
      <c r="K29" s="88"/>
      <c r="L29" s="181" t="b">
        <v>0</v>
      </c>
      <c r="M29" s="24"/>
      <c r="R29" s="56"/>
      <c r="S29" s="402" t="str">
        <f>IF(L29=TRUE,"a","y")</f>
        <v>y</v>
      </c>
    </row>
    <row r="30" spans="2:21" ht="6" customHeight="1">
      <c r="B30" s="38"/>
      <c r="C30" s="17"/>
      <c r="D30" s="17"/>
      <c r="E30" s="17"/>
      <c r="F30" s="17"/>
      <c r="G30" s="17"/>
      <c r="H30" s="17"/>
      <c r="I30" s="17"/>
      <c r="J30" s="17"/>
      <c r="K30" s="88"/>
      <c r="L30" s="181"/>
      <c r="M30" s="24"/>
      <c r="R30" s="56"/>
      <c r="S30" s="402"/>
    </row>
    <row r="31" spans="2:21" ht="27" customHeight="1">
      <c r="B31" s="38"/>
      <c r="C31" s="17"/>
      <c r="D31" s="391" t="s">
        <v>228</v>
      </c>
      <c r="E31" s="392"/>
      <c r="F31" s="387" t="s">
        <v>242</v>
      </c>
      <c r="G31" s="387"/>
      <c r="H31" s="387"/>
      <c r="I31" s="393" t="s">
        <v>247</v>
      </c>
      <c r="J31" s="393"/>
      <c r="K31" s="88"/>
      <c r="L31" s="181"/>
      <c r="M31" s="24"/>
      <c r="R31" s="56"/>
      <c r="S31" s="402"/>
    </row>
    <row r="32" spans="2:21" ht="52.5" customHeight="1">
      <c r="B32" s="38"/>
      <c r="C32" s="17"/>
      <c r="D32" s="405" t="s">
        <v>231</v>
      </c>
      <c r="E32" s="406"/>
      <c r="F32" s="381"/>
      <c r="G32" s="382"/>
      <c r="H32" s="383"/>
      <c r="I32" s="381"/>
      <c r="J32" s="383"/>
      <c r="K32" s="88"/>
      <c r="L32" s="181"/>
      <c r="M32" s="24"/>
      <c r="R32" s="56"/>
      <c r="S32" s="402"/>
    </row>
    <row r="33" spans="2:19" ht="15.75" customHeight="1">
      <c r="B33" s="38"/>
      <c r="C33" s="17"/>
      <c r="D33" s="405" t="s">
        <v>232</v>
      </c>
      <c r="E33" s="406"/>
      <c r="F33" s="381"/>
      <c r="G33" s="382"/>
      <c r="H33" s="383"/>
      <c r="I33" s="381"/>
      <c r="J33" s="383"/>
      <c r="K33" s="88"/>
      <c r="L33" s="181"/>
      <c r="M33" s="24"/>
      <c r="R33" s="56"/>
      <c r="S33" s="402"/>
    </row>
    <row r="34" spans="2:19" ht="15.75" customHeight="1">
      <c r="B34" s="38"/>
      <c r="C34" s="17"/>
      <c r="D34" s="407" t="s">
        <v>233</v>
      </c>
      <c r="E34" s="408"/>
      <c r="F34" s="381"/>
      <c r="G34" s="382"/>
      <c r="H34" s="383"/>
      <c r="I34" s="381"/>
      <c r="J34" s="383"/>
      <c r="K34" s="88"/>
      <c r="L34" s="181"/>
      <c r="M34" s="24"/>
      <c r="R34" s="56"/>
      <c r="S34" s="402"/>
    </row>
    <row r="35" spans="2:19" ht="6" customHeight="1">
      <c r="B35" s="38"/>
      <c r="C35" s="17"/>
      <c r="D35" s="17"/>
      <c r="E35" s="17"/>
      <c r="F35" s="17"/>
      <c r="G35" s="17"/>
      <c r="H35" s="17"/>
      <c r="I35" s="17"/>
      <c r="J35" s="17"/>
      <c r="K35" s="88"/>
      <c r="L35" s="181"/>
      <c r="M35" s="24"/>
      <c r="R35" s="56"/>
      <c r="S35" s="402"/>
    </row>
    <row r="36" spans="2:19">
      <c r="B36" s="60" t="s">
        <v>168</v>
      </c>
      <c r="C36" s="55" t="s">
        <v>194</v>
      </c>
      <c r="D36" s="17"/>
      <c r="E36" s="17"/>
      <c r="F36" s="17"/>
      <c r="G36" s="17"/>
      <c r="H36" s="17"/>
      <c r="I36" s="17"/>
      <c r="J36" s="17"/>
      <c r="K36" s="88"/>
      <c r="L36" s="181"/>
      <c r="M36" s="24"/>
      <c r="R36" s="56"/>
      <c r="S36" s="63" t="str">
        <f>IF(S37="a","Compliant",IF(AND(S37="a",S40="a"),"Compliant","Not Compliant"))</f>
        <v>Not Compliant</v>
      </c>
    </row>
    <row r="37" spans="2:19">
      <c r="B37" s="38"/>
      <c r="C37" s="380" t="s">
        <v>195</v>
      </c>
      <c r="D37" s="380"/>
      <c r="E37" s="380"/>
      <c r="F37" s="380"/>
      <c r="G37" s="380"/>
      <c r="H37" s="380"/>
      <c r="I37" s="380"/>
      <c r="J37" s="380"/>
      <c r="K37" s="88"/>
      <c r="L37" s="181" t="b">
        <v>0</v>
      </c>
      <c r="M37" s="24"/>
      <c r="R37" s="56"/>
      <c r="S37" s="402" t="str">
        <f>IF(AND(L37=TRUE,R18=TRUE,R21=TRUE),"a","r")</f>
        <v>r</v>
      </c>
    </row>
    <row r="38" spans="2:19">
      <c r="B38" s="38"/>
      <c r="C38" s="380"/>
      <c r="D38" s="380"/>
      <c r="E38" s="380"/>
      <c r="F38" s="380"/>
      <c r="G38" s="380"/>
      <c r="H38" s="380"/>
      <c r="I38" s="380"/>
      <c r="J38" s="380"/>
      <c r="K38" s="88"/>
      <c r="L38" s="181"/>
      <c r="M38" s="24"/>
      <c r="R38" s="56"/>
      <c r="S38" s="402"/>
    </row>
    <row r="39" spans="2:19" ht="6" customHeight="1">
      <c r="B39" s="38"/>
      <c r="C39" s="17"/>
      <c r="D39" s="17"/>
      <c r="E39" s="17"/>
      <c r="F39" s="17"/>
      <c r="G39" s="17"/>
      <c r="H39" s="17"/>
      <c r="I39" s="17"/>
      <c r="J39" s="17"/>
      <c r="K39" s="88"/>
      <c r="L39" s="181"/>
      <c r="M39" s="24"/>
      <c r="R39" s="56"/>
      <c r="S39" s="402"/>
    </row>
    <row r="40" spans="2:19">
      <c r="B40" s="38"/>
      <c r="C40" s="17" t="s">
        <v>259</v>
      </c>
      <c r="D40" s="17"/>
      <c r="E40" s="17"/>
      <c r="F40" s="17"/>
      <c r="G40" s="17"/>
      <c r="H40" s="17"/>
      <c r="I40" s="17"/>
      <c r="J40" s="17"/>
      <c r="K40" s="88"/>
      <c r="L40" s="181" t="b">
        <v>0</v>
      </c>
      <c r="M40" s="24"/>
      <c r="N40"/>
      <c r="R40" s="56"/>
      <c r="S40" s="360" t="str">
        <f>IF(L40=TRUE,"a","r")</f>
        <v>r</v>
      </c>
    </row>
    <row r="41" spans="2:19" ht="6" customHeight="1">
      <c r="B41" s="38"/>
      <c r="C41" s="17"/>
      <c r="D41" s="17"/>
      <c r="E41" s="17"/>
      <c r="F41" s="17"/>
      <c r="G41" s="17"/>
      <c r="H41" s="17"/>
      <c r="I41" s="17"/>
      <c r="J41" s="17"/>
      <c r="K41" s="88"/>
      <c r="L41" s="181"/>
      <c r="M41" s="24"/>
      <c r="R41" s="56"/>
      <c r="S41" s="361"/>
    </row>
    <row r="42" spans="2:19" ht="25.5" customHeight="1">
      <c r="B42" s="38"/>
      <c r="C42" s="17"/>
      <c r="D42" s="66" t="s">
        <v>228</v>
      </c>
      <c r="E42" s="393" t="s">
        <v>40</v>
      </c>
      <c r="F42" s="393"/>
      <c r="G42" s="393" t="s">
        <v>247</v>
      </c>
      <c r="H42" s="393"/>
      <c r="I42" s="17"/>
      <c r="J42" s="17"/>
      <c r="K42" s="88"/>
      <c r="L42" s="181"/>
      <c r="M42" s="24"/>
      <c r="R42" s="56"/>
      <c r="S42" s="361"/>
    </row>
    <row r="43" spans="2:19" ht="28.5" customHeight="1">
      <c r="B43" s="38"/>
      <c r="C43" s="17"/>
      <c r="D43" s="94" t="s">
        <v>271</v>
      </c>
      <c r="E43" s="415" t="s">
        <v>277</v>
      </c>
      <c r="F43" s="415"/>
      <c r="G43" s="275"/>
      <c r="H43" s="275"/>
      <c r="I43" s="17"/>
      <c r="J43" s="17"/>
      <c r="K43" s="88"/>
      <c r="L43" s="181"/>
      <c r="M43" s="24"/>
      <c r="R43" s="56"/>
      <c r="S43" s="361"/>
    </row>
    <row r="44" spans="2:19" ht="6.75" customHeight="1">
      <c r="B44" s="38"/>
      <c r="C44" s="17"/>
      <c r="D44" s="17"/>
      <c r="E44" s="17"/>
      <c r="F44" s="17"/>
      <c r="G44" s="17"/>
      <c r="H44" s="17"/>
      <c r="I44" s="17"/>
      <c r="J44" s="17"/>
      <c r="K44" s="88"/>
      <c r="L44" s="181"/>
      <c r="M44" s="24"/>
      <c r="R44" s="56"/>
      <c r="S44" s="361"/>
    </row>
    <row r="45" spans="2:19">
      <c r="B45" s="38"/>
      <c r="C45" s="17"/>
      <c r="D45" s="17" t="s">
        <v>272</v>
      </c>
      <c r="E45" s="17"/>
      <c r="F45" s="17"/>
      <c r="G45" s="17"/>
      <c r="H45" s="17"/>
      <c r="I45" s="17"/>
      <c r="J45" s="17"/>
      <c r="K45" s="88"/>
      <c r="L45" s="181"/>
      <c r="M45" s="24"/>
      <c r="R45" s="56"/>
      <c r="S45" s="361"/>
    </row>
    <row r="46" spans="2:19">
      <c r="B46" s="38"/>
      <c r="C46" s="17"/>
      <c r="D46" s="17" t="s">
        <v>273</v>
      </c>
      <c r="E46" s="17"/>
      <c r="F46" s="17"/>
      <c r="G46" s="17"/>
      <c r="H46" s="17"/>
      <c r="I46" s="17"/>
      <c r="J46" s="17"/>
      <c r="K46" s="88"/>
      <c r="L46" s="181"/>
      <c r="M46" s="24"/>
      <c r="R46" s="56"/>
      <c r="S46" s="361"/>
    </row>
    <row r="47" spans="2:19" ht="6" customHeight="1">
      <c r="B47" s="38"/>
      <c r="C47" s="17"/>
      <c r="D47" s="17"/>
      <c r="E47" s="17"/>
      <c r="F47" s="17"/>
      <c r="G47" s="17"/>
      <c r="H47" s="17"/>
      <c r="I47" s="17"/>
      <c r="J47" s="17"/>
      <c r="K47" s="88"/>
      <c r="L47" s="181"/>
      <c r="M47" s="24"/>
      <c r="R47" s="56"/>
      <c r="S47" s="362"/>
    </row>
    <row r="48" spans="2:19">
      <c r="B48" s="60" t="s">
        <v>169</v>
      </c>
      <c r="C48" s="55" t="s">
        <v>196</v>
      </c>
      <c r="D48" s="17"/>
      <c r="E48" s="17"/>
      <c r="F48" s="17"/>
      <c r="G48" s="17"/>
      <c r="H48" s="17"/>
      <c r="I48" s="17"/>
      <c r="J48" s="17"/>
      <c r="K48" s="88"/>
      <c r="L48" s="181"/>
      <c r="M48" s="24"/>
      <c r="R48" s="56"/>
      <c r="S48" s="63" t="str">
        <f>IF(S49="a","Compliant",IF(AND(S49="a",S53="a"),"Compliant","Not Compliant"))</f>
        <v>Not Compliant</v>
      </c>
    </row>
    <row r="49" spans="2:19" ht="15" customHeight="1">
      <c r="B49" s="38"/>
      <c r="C49" s="380" t="s">
        <v>197</v>
      </c>
      <c r="D49" s="380"/>
      <c r="E49" s="380"/>
      <c r="F49" s="380"/>
      <c r="G49" s="380"/>
      <c r="H49" s="380"/>
      <c r="I49" s="380"/>
      <c r="J49" s="380"/>
      <c r="K49" s="88"/>
      <c r="L49" s="181" t="b">
        <v>0</v>
      </c>
      <c r="M49" s="24"/>
      <c r="R49" s="56"/>
      <c r="S49" s="360" t="str">
        <f>IF(AND(L49=TRUE,L51="Ok"),"a","r")</f>
        <v>r</v>
      </c>
    </row>
    <row r="50" spans="2:19" ht="12.75" customHeight="1">
      <c r="B50" s="38"/>
      <c r="C50" s="380"/>
      <c r="D50" s="380"/>
      <c r="E50" s="380"/>
      <c r="F50" s="380"/>
      <c r="G50" s="380"/>
      <c r="H50" s="380"/>
      <c r="I50" s="380"/>
      <c r="J50" s="380"/>
      <c r="K50" s="88"/>
      <c r="L50" s="181"/>
      <c r="M50" s="24"/>
      <c r="R50" s="56"/>
      <c r="S50" s="361"/>
    </row>
    <row r="51" spans="2:19" ht="15">
      <c r="B51" s="38"/>
      <c r="C51" s="95"/>
      <c r="D51" s="187" t="s">
        <v>234</v>
      </c>
      <c r="E51" s="174">
        <f>'Ingoing substances'!R60</f>
        <v>0</v>
      </c>
      <c r="F51" s="95"/>
      <c r="G51" s="95"/>
      <c r="H51" s="95"/>
      <c r="I51" s="95"/>
      <c r="J51" s="95"/>
      <c r="K51" s="88"/>
      <c r="L51" s="181" t="str">
        <f>IF(E51&lt;2.5,"OK","No ok")</f>
        <v>OK</v>
      </c>
      <c r="M51" s="24"/>
      <c r="R51" s="56"/>
      <c r="S51" s="361"/>
    </row>
    <row r="52" spans="2:19" ht="6.75" customHeight="1">
      <c r="B52" s="38"/>
      <c r="C52" s="17"/>
      <c r="D52" s="17"/>
      <c r="E52" s="17"/>
      <c r="F52" s="17"/>
      <c r="G52" s="17"/>
      <c r="H52" s="17"/>
      <c r="I52" s="17"/>
      <c r="J52" s="17"/>
      <c r="K52" s="88"/>
      <c r="L52" s="181"/>
      <c r="M52" s="24"/>
      <c r="R52" s="56"/>
      <c r="S52" s="362"/>
    </row>
    <row r="53" spans="2:19">
      <c r="B53" s="38"/>
      <c r="C53" s="380" t="s">
        <v>198</v>
      </c>
      <c r="D53" s="380"/>
      <c r="E53" s="380"/>
      <c r="F53" s="380"/>
      <c r="G53" s="380"/>
      <c r="H53" s="380"/>
      <c r="I53" s="380"/>
      <c r="J53" s="380"/>
      <c r="K53" s="88"/>
      <c r="L53" s="181" t="b">
        <v>0</v>
      </c>
      <c r="M53" s="24"/>
      <c r="R53" s="56"/>
      <c r="S53" s="360" t="str">
        <f>IF(AND(L53=TRUE,I60&lt;25),"a","r")</f>
        <v>r</v>
      </c>
    </row>
    <row r="54" spans="2:19">
      <c r="B54" s="38"/>
      <c r="C54" s="380"/>
      <c r="D54" s="380"/>
      <c r="E54" s="380"/>
      <c r="F54" s="380"/>
      <c r="G54" s="380"/>
      <c r="H54" s="380"/>
      <c r="I54" s="380"/>
      <c r="J54" s="380"/>
      <c r="K54" s="88"/>
      <c r="L54" s="181"/>
      <c r="M54" s="24"/>
      <c r="R54" s="56"/>
      <c r="S54" s="361"/>
    </row>
    <row r="55" spans="2:19" ht="6" customHeight="1">
      <c r="B55" s="38"/>
      <c r="C55" s="17"/>
      <c r="D55" s="17"/>
      <c r="E55" s="17"/>
      <c r="F55" s="17"/>
      <c r="G55" s="17"/>
      <c r="H55" s="17"/>
      <c r="I55" s="17"/>
      <c r="J55" s="17"/>
      <c r="K55" s="88"/>
      <c r="L55" s="181"/>
      <c r="M55" s="24"/>
      <c r="R55" s="56"/>
      <c r="S55" s="361"/>
    </row>
    <row r="56" spans="2:19" ht="26.4">
      <c r="B56" s="38"/>
      <c r="C56" s="17"/>
      <c r="D56" s="65" t="s">
        <v>228</v>
      </c>
      <c r="E56" s="66" t="s">
        <v>40</v>
      </c>
      <c r="F56" s="387" t="s">
        <v>242</v>
      </c>
      <c r="G56" s="387"/>
      <c r="H56" s="387"/>
      <c r="I56" s="393" t="s">
        <v>247</v>
      </c>
      <c r="J56" s="393"/>
      <c r="K56" s="88"/>
      <c r="L56" s="181"/>
      <c r="M56" s="24"/>
      <c r="R56" s="56"/>
      <c r="S56" s="361"/>
    </row>
    <row r="57" spans="2:19" ht="15.75" customHeight="1">
      <c r="B57" s="38"/>
      <c r="C57" s="17"/>
      <c r="D57" s="397" t="s">
        <v>229</v>
      </c>
      <c r="E57" s="394" t="s">
        <v>239</v>
      </c>
      <c r="F57" s="381"/>
      <c r="G57" s="382"/>
      <c r="H57" s="383"/>
      <c r="I57" s="381"/>
      <c r="J57" s="383"/>
      <c r="K57" s="88"/>
      <c r="L57" s="181"/>
      <c r="M57" s="24"/>
      <c r="R57" s="56"/>
      <c r="S57" s="361"/>
    </row>
    <row r="58" spans="2:19" ht="15.75" customHeight="1">
      <c r="B58" s="38"/>
      <c r="C58" s="17"/>
      <c r="D58" s="398"/>
      <c r="E58" s="395"/>
      <c r="F58" s="381"/>
      <c r="G58" s="382"/>
      <c r="H58" s="383"/>
      <c r="I58" s="381"/>
      <c r="J58" s="383"/>
      <c r="K58" s="88"/>
      <c r="L58" s="181"/>
      <c r="M58" s="24"/>
      <c r="R58" s="56"/>
      <c r="S58" s="361"/>
    </row>
    <row r="59" spans="2:19" ht="15.75" customHeight="1">
      <c r="B59" s="38"/>
      <c r="C59" s="17"/>
      <c r="D59" s="399"/>
      <c r="E59" s="396"/>
      <c r="F59" s="381"/>
      <c r="G59" s="382"/>
      <c r="H59" s="383"/>
      <c r="I59" s="381"/>
      <c r="J59" s="383"/>
      <c r="K59" s="88"/>
      <c r="L59" s="181"/>
      <c r="M59" s="24"/>
      <c r="R59" s="56"/>
      <c r="S59" s="361"/>
    </row>
    <row r="60" spans="2:19" ht="15.75" customHeight="1">
      <c r="B60" s="38"/>
      <c r="C60" s="17"/>
      <c r="D60" s="67" t="s">
        <v>235</v>
      </c>
      <c r="E60" s="68" t="s">
        <v>241</v>
      </c>
      <c r="F60" s="381"/>
      <c r="G60" s="382"/>
      <c r="H60" s="383"/>
      <c r="I60" s="381"/>
      <c r="J60" s="383"/>
      <c r="K60" s="88"/>
      <c r="L60" s="181"/>
      <c r="M60" s="24"/>
      <c r="R60" s="56"/>
      <c r="S60" s="361"/>
    </row>
    <row r="61" spans="2:19" ht="6.75" customHeight="1">
      <c r="B61" s="40"/>
      <c r="C61" s="41"/>
      <c r="D61" s="41"/>
      <c r="E61" s="41"/>
      <c r="F61" s="41"/>
      <c r="G61" s="41"/>
      <c r="H61" s="41"/>
      <c r="I61" s="41"/>
      <c r="J61" s="41"/>
      <c r="K61" s="90"/>
      <c r="L61" s="181"/>
      <c r="M61" s="24"/>
      <c r="R61" s="56"/>
      <c r="S61" s="362"/>
    </row>
    <row r="62" spans="2:19" ht="15">
      <c r="B62" s="78" t="s">
        <v>165</v>
      </c>
      <c r="C62" s="79" t="s">
        <v>199</v>
      </c>
      <c r="D62" s="80"/>
      <c r="E62" s="80"/>
      <c r="F62" s="80"/>
      <c r="G62" s="80"/>
      <c r="H62" s="80"/>
      <c r="I62" s="80"/>
      <c r="J62" s="81"/>
      <c r="K62" s="82"/>
      <c r="L62" s="181"/>
      <c r="M62" s="24"/>
      <c r="R62" s="56"/>
      <c r="S62" s="63" t="str">
        <f>IF(AND(S63="a",S65="a",S68="y"),"Compliant",(IF(AND(S63="a",S65="a",S68="a"),"Compliant","Not Compliant")))</f>
        <v>Not Compliant</v>
      </c>
    </row>
    <row r="63" spans="2:19">
      <c r="B63" s="36"/>
      <c r="C63" s="404" t="s">
        <v>200</v>
      </c>
      <c r="D63" s="404"/>
      <c r="E63" s="404"/>
      <c r="F63" s="404"/>
      <c r="G63" s="404"/>
      <c r="H63" s="404"/>
      <c r="I63" s="404"/>
      <c r="J63" s="404"/>
      <c r="K63" s="87"/>
      <c r="L63" s="181" t="b">
        <v>0</v>
      </c>
      <c r="M63" s="24"/>
      <c r="R63" s="56"/>
      <c r="S63" s="402" t="str">
        <f>IF(L63=TRUE,"a","r")</f>
        <v>r</v>
      </c>
    </row>
    <row r="64" spans="2:19">
      <c r="B64" s="38"/>
      <c r="C64" s="380"/>
      <c r="D64" s="380"/>
      <c r="E64" s="380"/>
      <c r="F64" s="380"/>
      <c r="G64" s="380"/>
      <c r="H64" s="380"/>
      <c r="I64" s="380"/>
      <c r="J64" s="380"/>
      <c r="K64" s="88"/>
      <c r="L64" s="181"/>
      <c r="M64" s="24"/>
      <c r="R64" s="56"/>
      <c r="S64" s="402"/>
    </row>
    <row r="65" spans="2:19" ht="6" customHeight="1">
      <c r="B65" s="38"/>
      <c r="C65" s="17"/>
      <c r="D65" s="17"/>
      <c r="E65" s="17"/>
      <c r="F65" s="17"/>
      <c r="G65" s="17"/>
      <c r="H65" s="17"/>
      <c r="I65" s="17"/>
      <c r="J65" s="17"/>
      <c r="K65" s="88"/>
      <c r="L65" s="181"/>
      <c r="M65" s="24"/>
      <c r="R65" s="56"/>
      <c r="S65" s="402" t="str">
        <f>IF(L66=TRUE,"a","r")</f>
        <v>r</v>
      </c>
    </row>
    <row r="66" spans="2:19">
      <c r="B66" s="38"/>
      <c r="C66" s="17" t="s">
        <v>201</v>
      </c>
      <c r="D66" s="17"/>
      <c r="E66" s="17"/>
      <c r="F66" s="17"/>
      <c r="G66" s="17"/>
      <c r="H66" s="17"/>
      <c r="I66" s="17"/>
      <c r="J66" s="17"/>
      <c r="K66" s="88"/>
      <c r="L66" s="181" t="b">
        <v>0</v>
      </c>
      <c r="M66" s="24"/>
      <c r="R66" s="56"/>
      <c r="S66" s="402"/>
    </row>
    <row r="67" spans="2:19" ht="6" customHeight="1">
      <c r="B67" s="38"/>
      <c r="C67" s="17"/>
      <c r="D67" s="17"/>
      <c r="E67" s="17"/>
      <c r="F67" s="17"/>
      <c r="G67" s="17"/>
      <c r="H67" s="17"/>
      <c r="I67" s="17"/>
      <c r="J67" s="17"/>
      <c r="K67" s="88"/>
      <c r="L67" s="181"/>
      <c r="M67" s="24"/>
      <c r="R67" s="56"/>
      <c r="S67" s="402"/>
    </row>
    <row r="68" spans="2:19">
      <c r="B68" s="38"/>
      <c r="C68" s="380" t="s">
        <v>260</v>
      </c>
      <c r="D68" s="380"/>
      <c r="E68" s="380"/>
      <c r="F68" s="380"/>
      <c r="G68" s="380"/>
      <c r="H68" s="380"/>
      <c r="I68" s="380"/>
      <c r="J68" s="380"/>
      <c r="K68" s="88"/>
      <c r="L68" s="181" t="b">
        <v>0</v>
      </c>
      <c r="M68" s="24"/>
      <c r="N68"/>
      <c r="R68" s="56"/>
      <c r="S68" s="402" t="str">
        <f>IF(L68=TRUE,"a","y")</f>
        <v>y</v>
      </c>
    </row>
    <row r="69" spans="2:19">
      <c r="B69" s="38"/>
      <c r="C69" s="380"/>
      <c r="D69" s="380"/>
      <c r="E69" s="380"/>
      <c r="F69" s="380"/>
      <c r="G69" s="380"/>
      <c r="H69" s="380"/>
      <c r="I69" s="380"/>
      <c r="J69" s="380"/>
      <c r="K69" s="88"/>
      <c r="L69" s="181"/>
      <c r="M69" s="24"/>
      <c r="R69" s="56"/>
      <c r="S69" s="402"/>
    </row>
    <row r="70" spans="2:19" ht="14.4">
      <c r="B70" s="38"/>
      <c r="C70" s="17"/>
      <c r="D70" s="17" t="s">
        <v>274</v>
      </c>
      <c r="E70" s="17"/>
      <c r="F70" s="17"/>
      <c r="G70" s="17"/>
      <c r="H70" s="17"/>
      <c r="I70" s="17"/>
      <c r="J70" s="17"/>
      <c r="K70" s="88"/>
      <c r="L70" s="181"/>
      <c r="M70" s="24"/>
      <c r="N70" s="69"/>
      <c r="R70" s="56"/>
      <c r="S70" s="402"/>
    </row>
    <row r="71" spans="2:19" ht="6" customHeight="1">
      <c r="B71" s="40"/>
      <c r="C71" s="41"/>
      <c r="D71" s="41"/>
      <c r="E71" s="41"/>
      <c r="F71" s="41"/>
      <c r="G71" s="41"/>
      <c r="H71" s="41"/>
      <c r="I71" s="41"/>
      <c r="J71" s="41"/>
      <c r="K71" s="90"/>
      <c r="L71" s="181"/>
      <c r="M71" s="24"/>
      <c r="R71" s="56"/>
      <c r="S71" s="402"/>
    </row>
    <row r="72" spans="2:19" ht="15">
      <c r="B72" s="78" t="s">
        <v>170</v>
      </c>
      <c r="C72" s="79" t="s">
        <v>202</v>
      </c>
      <c r="D72" s="80"/>
      <c r="E72" s="80"/>
      <c r="F72" s="80"/>
      <c r="G72" s="80"/>
      <c r="H72" s="80"/>
      <c r="I72" s="80"/>
      <c r="J72" s="81"/>
      <c r="K72" s="82"/>
      <c r="L72" s="181"/>
      <c r="M72" s="24"/>
      <c r="R72" s="56"/>
      <c r="S72" s="63" t="str">
        <f>IF(AND(S73="a",S75="a"),"Compliant","Not Compliant")</f>
        <v>Not Compliant</v>
      </c>
    </row>
    <row r="73" spans="2:19">
      <c r="B73" s="36"/>
      <c r="C73" s="404" t="s">
        <v>203</v>
      </c>
      <c r="D73" s="404"/>
      <c r="E73" s="404"/>
      <c r="F73" s="404"/>
      <c r="G73" s="404"/>
      <c r="H73" s="404"/>
      <c r="I73" s="404"/>
      <c r="J73" s="404"/>
      <c r="K73" s="87"/>
      <c r="L73" s="181" t="b">
        <v>0</v>
      </c>
      <c r="M73" s="24"/>
      <c r="R73" s="56"/>
      <c r="S73" s="360" t="str">
        <f>IF(L73=TRUE,"a","r")</f>
        <v>r</v>
      </c>
    </row>
    <row r="74" spans="2:19">
      <c r="B74" s="38"/>
      <c r="C74" s="380"/>
      <c r="D74" s="380"/>
      <c r="E74" s="380"/>
      <c r="F74" s="380"/>
      <c r="G74" s="380"/>
      <c r="H74" s="380"/>
      <c r="I74" s="380"/>
      <c r="J74" s="380"/>
      <c r="K74" s="88"/>
      <c r="L74" s="181"/>
      <c r="M74" s="24"/>
      <c r="R74" s="56"/>
      <c r="S74" s="362"/>
    </row>
    <row r="75" spans="2:19" ht="6" customHeight="1">
      <c r="B75" s="38"/>
      <c r="C75" s="17"/>
      <c r="D75" s="17"/>
      <c r="E75" s="17"/>
      <c r="F75" s="17"/>
      <c r="G75" s="17"/>
      <c r="H75" s="17"/>
      <c r="I75" s="17"/>
      <c r="J75" s="17"/>
      <c r="K75" s="88"/>
      <c r="L75" s="181"/>
      <c r="M75" s="24"/>
      <c r="R75" s="56"/>
      <c r="S75" s="360" t="str">
        <f>IF(L76=TRUE,"a","r")</f>
        <v>r</v>
      </c>
    </row>
    <row r="76" spans="2:19">
      <c r="B76" s="38"/>
      <c r="C76" s="17" t="s">
        <v>204</v>
      </c>
      <c r="D76" s="17"/>
      <c r="E76" s="17"/>
      <c r="F76" s="17"/>
      <c r="G76" s="17"/>
      <c r="H76" s="17"/>
      <c r="I76" s="17"/>
      <c r="J76" s="17"/>
      <c r="K76" s="88"/>
      <c r="L76" s="181" t="b">
        <v>0</v>
      </c>
      <c r="M76" s="24"/>
      <c r="R76" s="56"/>
      <c r="S76" s="361"/>
    </row>
    <row r="77" spans="2:19" ht="6" customHeight="1">
      <c r="B77" s="40"/>
      <c r="C77" s="41"/>
      <c r="D77" s="41"/>
      <c r="E77" s="41"/>
      <c r="F77" s="41"/>
      <c r="G77" s="41"/>
      <c r="H77" s="41"/>
      <c r="I77" s="41"/>
      <c r="J77" s="41"/>
      <c r="K77" s="90"/>
      <c r="L77" s="181"/>
      <c r="M77" s="24"/>
      <c r="R77" s="56"/>
      <c r="S77" s="362"/>
    </row>
    <row r="78" spans="2:19" ht="15">
      <c r="B78" s="78" t="s">
        <v>171</v>
      </c>
      <c r="C78" s="79" t="s">
        <v>205</v>
      </c>
      <c r="D78" s="80"/>
      <c r="E78" s="80"/>
      <c r="F78" s="80"/>
      <c r="G78" s="80"/>
      <c r="H78" s="80"/>
      <c r="I78" s="80"/>
      <c r="J78" s="81"/>
      <c r="K78" s="82"/>
      <c r="L78" s="181"/>
      <c r="M78" s="24"/>
      <c r="R78" s="56"/>
      <c r="S78" s="63" t="str">
        <f>IF(S79="Does not apply","Does not apply",IF(OR(S81="a",S84="a",S86="a"),"Compliant","Not Compliant"))</f>
        <v>Not Compliant</v>
      </c>
    </row>
    <row r="79" spans="2:19">
      <c r="B79" s="36"/>
      <c r="C79" s="37" t="s">
        <v>206</v>
      </c>
      <c r="D79" s="37"/>
      <c r="E79" s="37"/>
      <c r="F79" s="37"/>
      <c r="G79" s="37"/>
      <c r="H79" s="37"/>
      <c r="I79" s="37"/>
      <c r="J79" s="37"/>
      <c r="K79" s="87"/>
      <c r="L79" s="181" t="b">
        <v>0</v>
      </c>
      <c r="M79" s="24"/>
      <c r="R79" s="56"/>
      <c r="S79" s="369" t="str">
        <f>IF(L79=TRUE,"Does not apply","-")</f>
        <v>-</v>
      </c>
    </row>
    <row r="80" spans="2:19" ht="6" customHeight="1">
      <c r="B80" s="38"/>
      <c r="C80" s="17"/>
      <c r="D80" s="17"/>
      <c r="E80" s="17"/>
      <c r="F80" s="17"/>
      <c r="G80" s="17"/>
      <c r="H80" s="17"/>
      <c r="I80" s="17"/>
      <c r="J80" s="17"/>
      <c r="K80" s="88"/>
      <c r="L80" s="181"/>
      <c r="M80" s="24"/>
      <c r="R80" s="56"/>
      <c r="S80" s="371"/>
    </row>
    <row r="81" spans="2:19">
      <c r="B81" s="38"/>
      <c r="C81" s="376" t="s">
        <v>207</v>
      </c>
      <c r="D81" s="376"/>
      <c r="E81" s="376"/>
      <c r="F81" s="376"/>
      <c r="G81" s="376"/>
      <c r="H81" s="376"/>
      <c r="I81" s="376"/>
      <c r="J81" s="376"/>
      <c r="K81" s="88"/>
      <c r="L81" s="181" t="b">
        <v>0</v>
      </c>
      <c r="M81" s="24"/>
      <c r="R81" s="56"/>
      <c r="S81" s="360" t="str">
        <f>IF(L81=TRUE,"a","r")</f>
        <v>r</v>
      </c>
    </row>
    <row r="82" spans="2:19">
      <c r="B82" s="38"/>
      <c r="C82" s="376"/>
      <c r="D82" s="376"/>
      <c r="E82" s="376"/>
      <c r="F82" s="376"/>
      <c r="G82" s="376"/>
      <c r="H82" s="376"/>
      <c r="I82" s="376"/>
      <c r="J82" s="376"/>
      <c r="K82" s="88"/>
      <c r="L82" s="181"/>
      <c r="M82" s="24"/>
      <c r="R82" s="56"/>
      <c r="S82" s="361"/>
    </row>
    <row r="83" spans="2:19" ht="3.75" customHeight="1">
      <c r="B83" s="38"/>
      <c r="C83" s="17"/>
      <c r="D83" s="17"/>
      <c r="E83" s="17"/>
      <c r="F83" s="17"/>
      <c r="G83" s="17"/>
      <c r="H83" s="17"/>
      <c r="I83" s="17"/>
      <c r="J83" s="17"/>
      <c r="K83" s="88"/>
      <c r="L83" s="181"/>
      <c r="M83" s="24"/>
      <c r="R83" s="56"/>
      <c r="S83" s="362"/>
    </row>
    <row r="84" spans="2:19" hidden="1">
      <c r="B84" s="38"/>
      <c r="C84" s="17"/>
      <c r="D84" s="17"/>
      <c r="E84" s="17"/>
      <c r="F84" s="17"/>
      <c r="G84" s="17"/>
      <c r="H84" s="17"/>
      <c r="I84" s="17"/>
      <c r="J84" s="17"/>
      <c r="K84" s="88"/>
      <c r="L84" s="181" t="b">
        <v>0</v>
      </c>
      <c r="M84" s="24"/>
      <c r="R84" s="56"/>
      <c r="S84" s="360"/>
    </row>
    <row r="85" spans="2:19" ht="6" hidden="1" customHeight="1">
      <c r="B85" s="38"/>
      <c r="C85" s="17"/>
      <c r="D85" s="17"/>
      <c r="E85" s="17"/>
      <c r="F85" s="17"/>
      <c r="G85" s="17"/>
      <c r="H85" s="17"/>
      <c r="I85" s="17"/>
      <c r="J85" s="17"/>
      <c r="K85" s="88"/>
      <c r="L85" s="181"/>
      <c r="M85" s="24"/>
      <c r="R85" s="56"/>
      <c r="S85" s="362"/>
    </row>
    <row r="86" spans="2:19">
      <c r="B86" s="38"/>
      <c r="C86" s="380" t="s">
        <v>209</v>
      </c>
      <c r="D86" s="380"/>
      <c r="E86" s="380"/>
      <c r="F86" s="380"/>
      <c r="G86" s="380"/>
      <c r="H86" s="380"/>
      <c r="I86" s="380"/>
      <c r="J86" s="380"/>
      <c r="K86" s="88"/>
      <c r="L86" s="181" t="b">
        <v>0</v>
      </c>
      <c r="M86" s="24"/>
      <c r="R86" s="56"/>
      <c r="S86" s="360" t="str">
        <f>IF(L86=TRUE,"a","r")</f>
        <v>r</v>
      </c>
    </row>
    <row r="87" spans="2:19">
      <c r="B87" s="38"/>
      <c r="C87" s="380"/>
      <c r="D87" s="380"/>
      <c r="E87" s="380"/>
      <c r="F87" s="380"/>
      <c r="G87" s="380"/>
      <c r="H87" s="380"/>
      <c r="I87" s="380"/>
      <c r="J87" s="380"/>
      <c r="K87" s="88"/>
      <c r="L87" s="181"/>
      <c r="M87" s="24"/>
      <c r="R87" s="56"/>
      <c r="S87" s="361"/>
    </row>
    <row r="88" spans="2:19" ht="6" customHeight="1">
      <c r="B88" s="40"/>
      <c r="C88" s="41"/>
      <c r="D88" s="41"/>
      <c r="E88" s="41"/>
      <c r="F88" s="41"/>
      <c r="G88" s="41"/>
      <c r="H88" s="41"/>
      <c r="I88" s="41"/>
      <c r="J88" s="41"/>
      <c r="K88" s="90"/>
      <c r="L88" s="181"/>
      <c r="M88" s="24"/>
      <c r="R88" s="56"/>
      <c r="S88" s="362"/>
    </row>
    <row r="89" spans="2:19" ht="15">
      <c r="B89" s="78" t="s">
        <v>172</v>
      </c>
      <c r="C89" s="79" t="s">
        <v>210</v>
      </c>
      <c r="D89" s="80"/>
      <c r="E89" s="80"/>
      <c r="F89" s="80"/>
      <c r="G89" s="80"/>
      <c r="H89" s="80"/>
      <c r="I89" s="80"/>
      <c r="J89" s="81"/>
      <c r="K89" s="82"/>
      <c r="L89" s="181"/>
      <c r="M89" s="24"/>
      <c r="R89" s="56"/>
      <c r="S89" s="63" t="str">
        <f>IF(S90="Does not apply","Does not apply",IF(AND(S92="a",S95="a",S98="a",S105="a"),"Compliant",IF(AND(S92="a",S95="a",S98="a"),"Compliant","Not Compliant")))</f>
        <v>Not Compliant</v>
      </c>
    </row>
    <row r="90" spans="2:19">
      <c r="B90" s="36"/>
      <c r="C90" s="37" t="s">
        <v>211</v>
      </c>
      <c r="D90" s="37"/>
      <c r="E90" s="37"/>
      <c r="F90" s="37"/>
      <c r="G90" s="37"/>
      <c r="H90" s="37"/>
      <c r="I90" s="37"/>
      <c r="J90" s="37"/>
      <c r="K90" s="87"/>
      <c r="L90" s="181" t="b">
        <v>0</v>
      </c>
      <c r="M90" s="24"/>
      <c r="R90" s="56"/>
      <c r="S90" s="369" t="str">
        <f>IF(L90=TRUE,"Does not apply","-")</f>
        <v>-</v>
      </c>
    </row>
    <row r="91" spans="2:19" ht="6" customHeight="1">
      <c r="B91" s="38"/>
      <c r="C91" s="17"/>
      <c r="D91" s="17"/>
      <c r="E91" s="17"/>
      <c r="F91" s="17"/>
      <c r="G91" s="17"/>
      <c r="H91" s="17"/>
      <c r="I91" s="17"/>
      <c r="J91" s="17"/>
      <c r="K91" s="88"/>
      <c r="L91" s="181"/>
      <c r="M91" s="24"/>
      <c r="R91" s="56"/>
      <c r="S91" s="371"/>
    </row>
    <row r="92" spans="2:19">
      <c r="B92" s="38"/>
      <c r="C92" s="376" t="s">
        <v>212</v>
      </c>
      <c r="D92" s="376"/>
      <c r="E92" s="376"/>
      <c r="F92" s="376"/>
      <c r="G92" s="376"/>
      <c r="H92" s="376"/>
      <c r="I92" s="376"/>
      <c r="J92" s="376"/>
      <c r="K92" s="88"/>
      <c r="L92" s="181" t="b">
        <v>0</v>
      </c>
      <c r="M92" s="24"/>
      <c r="R92" s="56"/>
      <c r="S92" s="360" t="str">
        <f>IF(L92=TRUE,"a","r")</f>
        <v>r</v>
      </c>
    </row>
    <row r="93" spans="2:19">
      <c r="B93" s="38"/>
      <c r="C93" s="376"/>
      <c r="D93" s="376"/>
      <c r="E93" s="376"/>
      <c r="F93" s="376"/>
      <c r="G93" s="376"/>
      <c r="H93" s="376"/>
      <c r="I93" s="376"/>
      <c r="J93" s="376"/>
      <c r="K93" s="88"/>
      <c r="L93" s="181"/>
      <c r="M93" s="24"/>
      <c r="R93" s="56"/>
      <c r="S93" s="361"/>
    </row>
    <row r="94" spans="2:19" ht="6" customHeight="1">
      <c r="B94" s="38"/>
      <c r="C94" s="17"/>
      <c r="D94" s="17"/>
      <c r="E94" s="17"/>
      <c r="F94" s="17"/>
      <c r="G94" s="17"/>
      <c r="H94" s="17"/>
      <c r="I94" s="17"/>
      <c r="J94" s="17"/>
      <c r="K94" s="88"/>
      <c r="L94" s="181"/>
      <c r="M94" s="24"/>
      <c r="R94" s="56"/>
      <c r="S94" s="362"/>
    </row>
    <row r="95" spans="2:19">
      <c r="B95" s="38"/>
      <c r="C95" s="380" t="s">
        <v>213</v>
      </c>
      <c r="D95" s="380"/>
      <c r="E95" s="380"/>
      <c r="F95" s="380"/>
      <c r="G95" s="380"/>
      <c r="H95" s="380"/>
      <c r="I95" s="380"/>
      <c r="J95" s="380"/>
      <c r="K95" s="88"/>
      <c r="L95" s="181" t="b">
        <v>0</v>
      </c>
      <c r="M95" s="24"/>
      <c r="R95" s="56"/>
      <c r="S95" s="360" t="str">
        <f>IF(L95=TRUE,"a","r")</f>
        <v>r</v>
      </c>
    </row>
    <row r="96" spans="2:19">
      <c r="B96" s="38"/>
      <c r="C96" s="380"/>
      <c r="D96" s="380"/>
      <c r="E96" s="380"/>
      <c r="F96" s="380"/>
      <c r="G96" s="380"/>
      <c r="H96" s="380"/>
      <c r="I96" s="380"/>
      <c r="J96" s="380"/>
      <c r="K96" s="88"/>
      <c r="L96" s="181"/>
      <c r="M96" s="24"/>
      <c r="R96" s="56"/>
      <c r="S96" s="361"/>
    </row>
    <row r="97" spans="2:19" ht="6" customHeight="1">
      <c r="B97" s="38"/>
      <c r="C97" s="17"/>
      <c r="D97" s="17"/>
      <c r="E97" s="17"/>
      <c r="F97" s="17"/>
      <c r="G97" s="17"/>
      <c r="H97" s="17"/>
      <c r="I97" s="17"/>
      <c r="J97" s="17"/>
      <c r="K97" s="88"/>
      <c r="L97" s="181"/>
      <c r="M97" s="24"/>
      <c r="R97" s="56"/>
      <c r="S97" s="362"/>
    </row>
    <row r="98" spans="2:19">
      <c r="B98" s="38"/>
      <c r="C98" s="17" t="s">
        <v>214</v>
      </c>
      <c r="D98" s="17"/>
      <c r="E98" s="17"/>
      <c r="F98" s="17"/>
      <c r="G98" s="17"/>
      <c r="H98" s="17"/>
      <c r="I98" s="17"/>
      <c r="J98" s="17"/>
      <c r="K98" s="88"/>
      <c r="L98" s="181" t="b">
        <v>0</v>
      </c>
      <c r="M98" s="24"/>
      <c r="R98" s="56"/>
      <c r="S98" s="360" t="str">
        <f>IF(L98=TRUE,"a","r")</f>
        <v>r</v>
      </c>
    </row>
    <row r="99" spans="2:19">
      <c r="B99" s="38"/>
      <c r="C99" s="17"/>
      <c r="D99" s="70" t="s">
        <v>236</v>
      </c>
      <c r="E99" s="161"/>
      <c r="F99" s="17" t="s">
        <v>243</v>
      </c>
      <c r="G99" s="70" t="s">
        <v>246</v>
      </c>
      <c r="H99" s="161"/>
      <c r="I99" s="17"/>
      <c r="J99" s="17"/>
      <c r="K99" s="88"/>
      <c r="L99" s="181"/>
      <c r="M99" s="24"/>
      <c r="R99" s="56"/>
      <c r="S99" s="361"/>
    </row>
    <row r="100" spans="2:19" ht="6" customHeight="1">
      <c r="B100" s="38"/>
      <c r="C100" s="17"/>
      <c r="D100" s="17"/>
      <c r="E100" s="17"/>
      <c r="F100" s="17"/>
      <c r="G100" s="17"/>
      <c r="H100" s="17"/>
      <c r="I100" s="17"/>
      <c r="J100" s="17"/>
      <c r="K100" s="88"/>
      <c r="L100" s="181"/>
      <c r="M100" s="24"/>
      <c r="R100" s="56"/>
      <c r="S100" s="361"/>
    </row>
    <row r="101" spans="2:19">
      <c r="B101" s="38"/>
      <c r="C101" s="17"/>
      <c r="D101" s="70" t="s">
        <v>236</v>
      </c>
      <c r="E101" s="161"/>
      <c r="F101" s="17" t="s">
        <v>243</v>
      </c>
      <c r="G101" s="70" t="s">
        <v>246</v>
      </c>
      <c r="H101" s="161"/>
      <c r="I101" s="17"/>
      <c r="J101" s="17"/>
      <c r="K101" s="88"/>
      <c r="L101" s="181"/>
      <c r="M101" s="24"/>
      <c r="R101" s="56"/>
      <c r="S101" s="361"/>
    </row>
    <row r="102" spans="2:19" ht="6" customHeight="1">
      <c r="B102" s="38"/>
      <c r="C102" s="17"/>
      <c r="D102" s="17"/>
      <c r="E102" s="17"/>
      <c r="F102" s="17"/>
      <c r="G102" s="17"/>
      <c r="H102" s="17"/>
      <c r="I102" s="17"/>
      <c r="J102" s="17"/>
      <c r="K102" s="88"/>
      <c r="L102" s="181"/>
      <c r="M102" s="24"/>
      <c r="R102" s="56"/>
      <c r="S102" s="361"/>
    </row>
    <row r="103" spans="2:19">
      <c r="B103" s="38"/>
      <c r="C103" s="17"/>
      <c r="D103" s="70" t="s">
        <v>236</v>
      </c>
      <c r="E103" s="161"/>
      <c r="F103" s="17" t="s">
        <v>243</v>
      </c>
      <c r="G103" s="70" t="s">
        <v>246</v>
      </c>
      <c r="H103" s="161"/>
      <c r="I103" s="17"/>
      <c r="J103" s="17"/>
      <c r="K103" s="88"/>
      <c r="L103" s="181"/>
      <c r="M103" s="24"/>
      <c r="R103" s="56"/>
      <c r="S103" s="361"/>
    </row>
    <row r="104" spans="2:19" ht="6" customHeight="1">
      <c r="B104" s="38"/>
      <c r="C104" s="17"/>
      <c r="D104" s="17"/>
      <c r="E104" s="17"/>
      <c r="F104" s="17"/>
      <c r="G104" s="17"/>
      <c r="H104" s="17"/>
      <c r="I104" s="17"/>
      <c r="J104" s="17"/>
      <c r="K104" s="88"/>
      <c r="L104" s="181"/>
      <c r="M104" s="24"/>
      <c r="R104" s="56"/>
      <c r="S104" s="362"/>
    </row>
    <row r="105" spans="2:19">
      <c r="B105" s="38"/>
      <c r="C105" s="376" t="s">
        <v>215</v>
      </c>
      <c r="D105" s="376"/>
      <c r="E105" s="376"/>
      <c r="F105" s="376"/>
      <c r="G105" s="376"/>
      <c r="H105" s="376"/>
      <c r="I105" s="376"/>
      <c r="J105" s="376"/>
      <c r="K105" s="88"/>
      <c r="L105" s="181" t="b">
        <v>0</v>
      </c>
      <c r="M105" s="24"/>
      <c r="R105" s="56"/>
      <c r="S105" s="360" t="str">
        <f>IF(L105=TRUE,"a","r")</f>
        <v>r</v>
      </c>
    </row>
    <row r="106" spans="2:19">
      <c r="B106" s="38"/>
      <c r="C106" s="376"/>
      <c r="D106" s="376"/>
      <c r="E106" s="376"/>
      <c r="F106" s="376"/>
      <c r="G106" s="376"/>
      <c r="H106" s="376"/>
      <c r="I106" s="376"/>
      <c r="J106" s="376"/>
      <c r="K106" s="88"/>
      <c r="L106" s="181"/>
      <c r="M106" s="24"/>
      <c r="R106" s="56"/>
      <c r="S106" s="361"/>
    </row>
    <row r="107" spans="2:19">
      <c r="B107" s="38"/>
      <c r="C107" s="376"/>
      <c r="D107" s="376"/>
      <c r="E107" s="376"/>
      <c r="F107" s="376"/>
      <c r="G107" s="376"/>
      <c r="H107" s="376"/>
      <c r="I107" s="376"/>
      <c r="J107" s="376"/>
      <c r="K107" s="88"/>
      <c r="L107" s="181"/>
      <c r="M107" s="24"/>
      <c r="R107" s="56"/>
      <c r="S107" s="361"/>
    </row>
    <row r="108" spans="2:19" ht="6" customHeight="1">
      <c r="B108" s="40"/>
      <c r="C108" s="41"/>
      <c r="D108" s="41"/>
      <c r="E108" s="41"/>
      <c r="F108" s="41"/>
      <c r="G108" s="41"/>
      <c r="H108" s="41"/>
      <c r="I108" s="41"/>
      <c r="J108" s="41"/>
      <c r="K108" s="90"/>
      <c r="L108" s="181"/>
      <c r="M108" s="24"/>
      <c r="R108" s="56"/>
      <c r="S108" s="362"/>
    </row>
    <row r="109" spans="2:19" ht="15">
      <c r="B109" s="78" t="s">
        <v>173</v>
      </c>
      <c r="C109" s="79" t="s">
        <v>216</v>
      </c>
      <c r="D109" s="80"/>
      <c r="E109" s="80"/>
      <c r="F109" s="80"/>
      <c r="G109" s="80"/>
      <c r="H109" s="80"/>
      <c r="I109" s="80"/>
      <c r="J109" s="81"/>
      <c r="K109" s="82"/>
      <c r="L109" s="181"/>
      <c r="M109" s="24"/>
      <c r="R109" s="56"/>
      <c r="S109" s="63" t="str">
        <f>IF(S110="Does not apply","Does not apply",IF(AND(S112="a",S115="a"),"Compliant",IF(AND(S112="a",S115="a",(OR(S122="a",S126="a"))),"Compliant","Not Compliant")))</f>
        <v>Not Compliant</v>
      </c>
    </row>
    <row r="110" spans="2:19">
      <c r="B110" s="36"/>
      <c r="C110" s="37" t="s">
        <v>217</v>
      </c>
      <c r="D110" s="37"/>
      <c r="E110" s="37"/>
      <c r="F110" s="37"/>
      <c r="G110" s="37"/>
      <c r="H110" s="37"/>
      <c r="I110" s="37"/>
      <c r="J110" s="37"/>
      <c r="K110" s="87"/>
      <c r="L110" s="181" t="b">
        <v>0</v>
      </c>
      <c r="M110" s="24"/>
      <c r="R110" s="56"/>
      <c r="S110" s="369" t="str">
        <f>IF(L110=TRUE,"Does not apply","-")</f>
        <v>-</v>
      </c>
    </row>
    <row r="111" spans="2:19" ht="6" customHeight="1">
      <c r="B111" s="38"/>
      <c r="C111" s="17"/>
      <c r="D111" s="17"/>
      <c r="E111" s="17"/>
      <c r="F111" s="17"/>
      <c r="G111" s="17"/>
      <c r="H111" s="17"/>
      <c r="I111" s="17"/>
      <c r="J111" s="17"/>
      <c r="K111" s="88"/>
      <c r="L111" s="181"/>
      <c r="M111" s="24"/>
      <c r="R111" s="56"/>
      <c r="S111" s="371"/>
    </row>
    <row r="112" spans="2:19">
      <c r="B112" s="38"/>
      <c r="C112" s="380" t="s">
        <v>218</v>
      </c>
      <c r="D112" s="380"/>
      <c r="E112" s="380"/>
      <c r="F112" s="380"/>
      <c r="G112" s="380"/>
      <c r="H112" s="380"/>
      <c r="I112" s="380"/>
      <c r="J112" s="380"/>
      <c r="K112" s="88"/>
      <c r="L112" s="181" t="b">
        <v>0</v>
      </c>
      <c r="M112" s="24"/>
      <c r="R112" s="56"/>
      <c r="S112" s="360" t="str">
        <f>IF(L112=TRUE,"a","r")</f>
        <v>r</v>
      </c>
    </row>
    <row r="113" spans="2:19">
      <c r="B113" s="38"/>
      <c r="C113" s="380"/>
      <c r="D113" s="380"/>
      <c r="E113" s="380"/>
      <c r="F113" s="380"/>
      <c r="G113" s="380"/>
      <c r="H113" s="380"/>
      <c r="I113" s="380"/>
      <c r="J113" s="380"/>
      <c r="K113" s="88"/>
      <c r="L113" s="181"/>
      <c r="M113" s="24"/>
      <c r="R113" s="56"/>
      <c r="S113" s="361"/>
    </row>
    <row r="114" spans="2:19" ht="6" customHeight="1">
      <c r="B114" s="38"/>
      <c r="C114" s="17"/>
      <c r="D114" s="17"/>
      <c r="E114" s="17"/>
      <c r="F114" s="17"/>
      <c r="G114" s="17"/>
      <c r="H114" s="17"/>
      <c r="I114" s="17"/>
      <c r="J114" s="17"/>
      <c r="K114" s="88"/>
      <c r="L114" s="181"/>
      <c r="M114" s="24"/>
      <c r="R114" s="56"/>
      <c r="S114" s="362"/>
    </row>
    <row r="115" spans="2:19">
      <c r="B115" s="38"/>
      <c r="C115" s="17" t="s">
        <v>219</v>
      </c>
      <c r="D115" s="17"/>
      <c r="E115" s="17"/>
      <c r="F115" s="17"/>
      <c r="G115" s="17"/>
      <c r="H115" s="17"/>
      <c r="I115" s="17"/>
      <c r="J115" s="17"/>
      <c r="K115" s="88"/>
      <c r="L115" s="181" t="b">
        <v>0</v>
      </c>
      <c r="M115" s="24"/>
      <c r="R115" s="56"/>
      <c r="S115" s="360" t="str">
        <f>IF(OR(L115=TRUE,L120=TRUE),"a","r")</f>
        <v>r</v>
      </c>
    </row>
    <row r="116" spans="2:19">
      <c r="B116" s="38"/>
      <c r="C116" s="17"/>
      <c r="D116" s="70" t="s">
        <v>236</v>
      </c>
      <c r="E116" s="161"/>
      <c r="F116" s="17" t="s">
        <v>243</v>
      </c>
      <c r="G116" s="70" t="s">
        <v>246</v>
      </c>
      <c r="H116" s="161"/>
      <c r="I116" s="17"/>
      <c r="J116" s="17"/>
      <c r="K116" s="88"/>
      <c r="L116" s="181"/>
      <c r="M116" s="24"/>
      <c r="R116" s="56"/>
      <c r="S116" s="361"/>
    </row>
    <row r="117" spans="2:19" ht="6" customHeight="1">
      <c r="B117" s="38"/>
      <c r="C117" s="17"/>
      <c r="D117" s="17"/>
      <c r="E117" s="17"/>
      <c r="F117" s="17"/>
      <c r="G117" s="17"/>
      <c r="H117" s="17"/>
      <c r="I117" s="17"/>
      <c r="J117" s="17"/>
      <c r="K117" s="88"/>
      <c r="L117" s="181"/>
      <c r="M117" s="24"/>
      <c r="R117" s="56"/>
      <c r="S117" s="361"/>
    </row>
    <row r="118" spans="2:19">
      <c r="B118" s="38"/>
      <c r="C118" s="17"/>
      <c r="D118" s="70" t="s">
        <v>236</v>
      </c>
      <c r="E118" s="161"/>
      <c r="F118" s="17" t="s">
        <v>243</v>
      </c>
      <c r="G118" s="70" t="s">
        <v>246</v>
      </c>
      <c r="H118" s="161"/>
      <c r="I118" s="17"/>
      <c r="J118" s="17"/>
      <c r="K118" s="88"/>
      <c r="L118" s="181"/>
      <c r="M118" s="24"/>
      <c r="R118" s="56"/>
      <c r="S118" s="361"/>
    </row>
    <row r="119" spans="2:19" ht="6" customHeight="1">
      <c r="B119" s="38"/>
      <c r="C119" s="17"/>
      <c r="D119" s="17"/>
      <c r="E119" s="17"/>
      <c r="F119" s="17"/>
      <c r="G119" s="17"/>
      <c r="H119" s="17"/>
      <c r="I119" s="17"/>
      <c r="J119" s="17"/>
      <c r="K119" s="88"/>
      <c r="L119" s="181"/>
      <c r="M119" s="24"/>
      <c r="R119" s="56"/>
      <c r="S119" s="361"/>
    </row>
    <row r="120" spans="2:19">
      <c r="B120" s="38"/>
      <c r="C120" s="17" t="s">
        <v>220</v>
      </c>
      <c r="D120" s="17"/>
      <c r="E120" s="17"/>
      <c r="F120" s="17"/>
      <c r="G120" s="17"/>
      <c r="H120" s="17"/>
      <c r="I120" s="17"/>
      <c r="J120" s="17"/>
      <c r="K120" s="88"/>
      <c r="L120" s="181" t="b">
        <v>0</v>
      </c>
      <c r="M120" s="24"/>
      <c r="R120" s="56"/>
      <c r="S120" s="361"/>
    </row>
    <row r="121" spans="2:19" ht="6" customHeight="1">
      <c r="B121" s="38"/>
      <c r="C121" s="17"/>
      <c r="D121" s="17"/>
      <c r="E121" s="17"/>
      <c r="F121" s="17"/>
      <c r="G121" s="17"/>
      <c r="H121" s="17"/>
      <c r="I121" s="17"/>
      <c r="J121" s="17"/>
      <c r="K121" s="88"/>
      <c r="L121" s="181"/>
      <c r="M121" s="24"/>
      <c r="R121" s="56"/>
      <c r="S121" s="362"/>
    </row>
    <row r="122" spans="2:19">
      <c r="B122" s="38"/>
      <c r="C122" s="376" t="s">
        <v>215</v>
      </c>
      <c r="D122" s="376"/>
      <c r="E122" s="376"/>
      <c r="F122" s="376"/>
      <c r="G122" s="376"/>
      <c r="H122" s="376"/>
      <c r="I122" s="376"/>
      <c r="J122" s="376"/>
      <c r="K122" s="88"/>
      <c r="L122" s="181" t="b">
        <v>0</v>
      </c>
      <c r="M122" s="24"/>
      <c r="R122" s="56"/>
      <c r="S122" s="360" t="str">
        <f>IF(L122=TRUE,"a","r")</f>
        <v>r</v>
      </c>
    </row>
    <row r="123" spans="2:19">
      <c r="B123" s="38"/>
      <c r="C123" s="376"/>
      <c r="D123" s="376"/>
      <c r="E123" s="376"/>
      <c r="F123" s="376"/>
      <c r="G123" s="376"/>
      <c r="H123" s="376"/>
      <c r="I123" s="376"/>
      <c r="J123" s="376"/>
      <c r="K123" s="88"/>
      <c r="L123" s="181"/>
      <c r="M123" s="24"/>
      <c r="R123" s="56"/>
      <c r="S123" s="361"/>
    </row>
    <row r="124" spans="2:19">
      <c r="B124" s="38"/>
      <c r="C124" s="376"/>
      <c r="D124" s="376"/>
      <c r="E124" s="376"/>
      <c r="F124" s="376"/>
      <c r="G124" s="376"/>
      <c r="H124" s="376"/>
      <c r="I124" s="376"/>
      <c r="J124" s="376"/>
      <c r="K124" s="88"/>
      <c r="L124" s="181"/>
      <c r="M124" s="24"/>
      <c r="R124" s="56"/>
      <c r="S124" s="361"/>
    </row>
    <row r="125" spans="2:19" ht="6" customHeight="1">
      <c r="B125" s="38"/>
      <c r="C125" s="17"/>
      <c r="D125" s="17"/>
      <c r="E125" s="17"/>
      <c r="F125" s="17"/>
      <c r="G125" s="17"/>
      <c r="H125" s="17"/>
      <c r="I125" s="17"/>
      <c r="J125" s="17"/>
      <c r="K125" s="88"/>
      <c r="L125" s="181"/>
      <c r="M125" s="24"/>
      <c r="R125" s="56"/>
      <c r="S125" s="362"/>
    </row>
    <row r="126" spans="2:19">
      <c r="B126" s="38"/>
      <c r="C126" s="403" t="s">
        <v>261</v>
      </c>
      <c r="D126" s="403"/>
      <c r="E126" s="403"/>
      <c r="F126" s="403"/>
      <c r="G126" s="403"/>
      <c r="H126" s="403"/>
      <c r="I126" s="403"/>
      <c r="J126" s="403"/>
      <c r="K126" s="88"/>
      <c r="L126" s="181" t="b">
        <v>0</v>
      </c>
      <c r="M126" s="24"/>
      <c r="R126" s="56"/>
      <c r="S126" s="360" t="str">
        <f>IF(L126=TRUE,"a","r")</f>
        <v>r</v>
      </c>
    </row>
    <row r="127" spans="2:19" ht="12.75" customHeight="1">
      <c r="B127" s="38"/>
      <c r="C127" s="403"/>
      <c r="D127" s="403"/>
      <c r="E127" s="403"/>
      <c r="F127" s="403"/>
      <c r="G127" s="403"/>
      <c r="H127" s="403"/>
      <c r="I127" s="403"/>
      <c r="J127" s="403"/>
      <c r="K127" s="88"/>
      <c r="L127" s="181"/>
      <c r="M127" s="24"/>
      <c r="R127" s="56"/>
      <c r="S127" s="361"/>
    </row>
    <row r="128" spans="2:19">
      <c r="B128" s="38"/>
      <c r="C128" s="403"/>
      <c r="D128" s="403"/>
      <c r="E128" s="403"/>
      <c r="F128" s="403"/>
      <c r="G128" s="403"/>
      <c r="H128" s="403"/>
      <c r="I128" s="403"/>
      <c r="J128" s="403"/>
      <c r="K128" s="88"/>
      <c r="L128" s="181"/>
      <c r="M128" s="24"/>
      <c r="R128" s="56"/>
      <c r="S128" s="361"/>
    </row>
    <row r="129" spans="2:19">
      <c r="B129" s="38"/>
      <c r="C129" s="403"/>
      <c r="D129" s="403"/>
      <c r="E129" s="403"/>
      <c r="F129" s="403"/>
      <c r="G129" s="403"/>
      <c r="H129" s="403"/>
      <c r="I129" s="403"/>
      <c r="J129" s="403"/>
      <c r="K129" s="88"/>
      <c r="L129" s="181"/>
      <c r="M129" s="24"/>
      <c r="R129" s="56"/>
      <c r="S129" s="361"/>
    </row>
    <row r="130" spans="2:19" ht="6" customHeight="1">
      <c r="B130" s="40"/>
      <c r="C130" s="41"/>
      <c r="D130" s="89"/>
      <c r="E130" s="89"/>
      <c r="F130" s="89"/>
      <c r="G130" s="89"/>
      <c r="H130" s="89"/>
      <c r="I130" s="89"/>
      <c r="J130" s="89"/>
      <c r="K130" s="90"/>
      <c r="L130" s="181"/>
      <c r="M130" s="24"/>
      <c r="R130" s="56"/>
      <c r="S130" s="362"/>
    </row>
    <row r="131" spans="2:19" ht="15">
      <c r="B131" s="78" t="s">
        <v>255</v>
      </c>
      <c r="C131" s="79" t="s">
        <v>262</v>
      </c>
      <c r="D131" s="80"/>
      <c r="E131" s="80"/>
      <c r="F131" s="80"/>
      <c r="G131" s="80"/>
      <c r="H131" s="80"/>
      <c r="I131" s="80"/>
      <c r="J131" s="81"/>
      <c r="K131" s="82"/>
      <c r="L131" s="181"/>
      <c r="M131" s="24"/>
      <c r="R131" s="56"/>
      <c r="S131" s="63" t="str">
        <f>IF(S132="Does not apply","Does not apply",IF(AND(S134="a",S137="a"),"Compliant",IF(AND(S134="a",S137="a",S143="a"),"Compliant","Not Compliant")))</f>
        <v>Does not apply</v>
      </c>
    </row>
    <row r="132" spans="2:19">
      <c r="B132" s="36"/>
      <c r="C132" s="37" t="s">
        <v>263</v>
      </c>
      <c r="D132" s="96"/>
      <c r="E132" s="96"/>
      <c r="F132" s="96"/>
      <c r="G132" s="96"/>
      <c r="H132" s="96"/>
      <c r="I132" s="96"/>
      <c r="J132" s="96"/>
      <c r="K132" s="87"/>
      <c r="L132" s="181" t="b">
        <v>0</v>
      </c>
      <c r="M132" s="24"/>
      <c r="R132" s="56"/>
      <c r="S132" s="369" t="str">
        <f>IF(L132=FALSE,"Does not apply","Apply")</f>
        <v>Does not apply</v>
      </c>
    </row>
    <row r="133" spans="2:19" ht="6" customHeight="1">
      <c r="B133" s="38"/>
      <c r="C133" s="17"/>
      <c r="D133" s="95"/>
      <c r="E133" s="95"/>
      <c r="F133" s="95"/>
      <c r="G133" s="95"/>
      <c r="H133" s="95"/>
      <c r="I133" s="95"/>
      <c r="J133" s="95"/>
      <c r="K133" s="88"/>
      <c r="L133" s="181"/>
      <c r="M133" s="24"/>
      <c r="R133" s="56"/>
      <c r="S133" s="371"/>
    </row>
    <row r="134" spans="2:19">
      <c r="B134" s="38"/>
      <c r="C134" s="380" t="s">
        <v>264</v>
      </c>
      <c r="D134" s="380"/>
      <c r="E134" s="380"/>
      <c r="F134" s="380"/>
      <c r="G134" s="380"/>
      <c r="H134" s="380"/>
      <c r="I134" s="380"/>
      <c r="J134" s="380"/>
      <c r="K134" s="88"/>
      <c r="L134" s="181" t="b">
        <v>0</v>
      </c>
      <c r="M134" s="24"/>
      <c r="R134" s="56"/>
      <c r="S134" s="360" t="str">
        <f>IF(L134=TRUE,"a","r")</f>
        <v>r</v>
      </c>
    </row>
    <row r="135" spans="2:19">
      <c r="B135" s="38"/>
      <c r="C135" s="380"/>
      <c r="D135" s="380"/>
      <c r="E135" s="380"/>
      <c r="F135" s="380"/>
      <c r="G135" s="380"/>
      <c r="H135" s="380"/>
      <c r="I135" s="380"/>
      <c r="J135" s="380"/>
      <c r="K135" s="88"/>
      <c r="L135" s="181"/>
      <c r="M135" s="24"/>
      <c r="R135" s="56"/>
      <c r="S135" s="361"/>
    </row>
    <row r="136" spans="2:19" ht="6" customHeight="1">
      <c r="B136" s="38"/>
      <c r="C136" s="17"/>
      <c r="D136" s="95"/>
      <c r="E136" s="95"/>
      <c r="F136" s="95"/>
      <c r="G136" s="95"/>
      <c r="H136" s="95"/>
      <c r="I136" s="95"/>
      <c r="J136" s="95"/>
      <c r="K136" s="88"/>
      <c r="L136" s="181"/>
      <c r="M136" s="24"/>
      <c r="R136" s="56"/>
      <c r="S136" s="362"/>
    </row>
    <row r="137" spans="2:19">
      <c r="B137" s="38"/>
      <c r="C137" s="17" t="s">
        <v>265</v>
      </c>
      <c r="D137" s="95"/>
      <c r="E137" s="95"/>
      <c r="F137" s="95"/>
      <c r="G137" s="95"/>
      <c r="H137" s="95"/>
      <c r="I137" s="95"/>
      <c r="J137" s="95"/>
      <c r="K137" s="88"/>
      <c r="L137" s="181" t="b">
        <v>0</v>
      </c>
      <c r="M137" s="24"/>
      <c r="R137" s="56"/>
      <c r="S137" s="360" t="str">
        <f>IF(L137=TRUE,"a","r")</f>
        <v>r</v>
      </c>
    </row>
    <row r="138" spans="2:19">
      <c r="B138" s="38"/>
      <c r="C138" s="17"/>
      <c r="D138" s="70" t="s">
        <v>236</v>
      </c>
      <c r="E138" s="161"/>
      <c r="F138" s="17" t="s">
        <v>243</v>
      </c>
      <c r="G138" s="70" t="s">
        <v>246</v>
      </c>
      <c r="H138" s="161"/>
      <c r="I138" s="17" t="s">
        <v>243</v>
      </c>
      <c r="J138" s="17"/>
      <c r="K138" s="88"/>
      <c r="L138" s="181"/>
      <c r="M138" s="24"/>
      <c r="R138" s="56"/>
      <c r="S138" s="361"/>
    </row>
    <row r="139" spans="2:19" ht="6" customHeight="1">
      <c r="B139" s="38"/>
      <c r="C139" s="17"/>
      <c r="D139" s="17"/>
      <c r="E139" s="17"/>
      <c r="F139" s="17"/>
      <c r="G139" s="17"/>
      <c r="H139" s="17"/>
      <c r="I139" s="17"/>
      <c r="J139" s="17"/>
      <c r="K139" s="88"/>
      <c r="L139" s="181"/>
      <c r="M139" s="24"/>
      <c r="R139" s="56"/>
      <c r="S139" s="361"/>
    </row>
    <row r="140" spans="2:19">
      <c r="B140" s="38"/>
      <c r="C140" s="17"/>
      <c r="D140" s="70" t="s">
        <v>275</v>
      </c>
      <c r="E140" s="161"/>
      <c r="F140" s="17" t="s">
        <v>243</v>
      </c>
      <c r="G140" s="251"/>
      <c r="H140" s="181"/>
      <c r="I140" s="17"/>
      <c r="J140" s="17"/>
      <c r="K140" s="88"/>
      <c r="L140" s="181"/>
      <c r="M140" s="24"/>
      <c r="R140" s="56"/>
      <c r="S140" s="361"/>
    </row>
    <row r="141" spans="2:19">
      <c r="B141" s="38"/>
      <c r="C141" s="17"/>
      <c r="D141" s="70" t="s">
        <v>276</v>
      </c>
      <c r="E141" s="161"/>
      <c r="F141" s="95"/>
      <c r="G141" s="251"/>
      <c r="H141" s="181"/>
      <c r="I141" s="95"/>
      <c r="J141" s="95"/>
      <c r="K141" s="88"/>
      <c r="L141" s="181"/>
      <c r="M141" s="24"/>
      <c r="R141" s="56"/>
      <c r="S141" s="361"/>
    </row>
    <row r="142" spans="2:19" ht="6" customHeight="1">
      <c r="B142" s="38"/>
      <c r="C142" s="17"/>
      <c r="D142" s="17"/>
      <c r="E142" s="17"/>
      <c r="F142" s="95"/>
      <c r="G142" s="95"/>
      <c r="H142" s="95"/>
      <c r="I142" s="95"/>
      <c r="J142" s="95"/>
      <c r="K142" s="88"/>
      <c r="L142" s="181"/>
      <c r="M142" s="24"/>
      <c r="R142" s="56"/>
      <c r="S142" s="362"/>
    </row>
    <row r="143" spans="2:19">
      <c r="B143" s="38"/>
      <c r="C143" s="403" t="s">
        <v>266</v>
      </c>
      <c r="D143" s="403"/>
      <c r="E143" s="403"/>
      <c r="F143" s="403"/>
      <c r="G143" s="403"/>
      <c r="H143" s="403"/>
      <c r="I143" s="403"/>
      <c r="J143" s="403"/>
      <c r="K143" s="88"/>
      <c r="L143" s="181" t="b">
        <v>0</v>
      </c>
      <c r="M143" s="24"/>
      <c r="R143" s="56"/>
      <c r="S143" s="360" t="str">
        <f>IF(L143=TRUE,"a","r")</f>
        <v>r</v>
      </c>
    </row>
    <row r="144" spans="2:19">
      <c r="B144" s="38"/>
      <c r="C144" s="403"/>
      <c r="D144" s="403"/>
      <c r="E144" s="403"/>
      <c r="F144" s="403"/>
      <c r="G144" s="403"/>
      <c r="H144" s="403"/>
      <c r="I144" s="403"/>
      <c r="J144" s="403"/>
      <c r="K144" s="88"/>
      <c r="L144" s="181"/>
      <c r="M144" s="24"/>
      <c r="R144" s="56"/>
      <c r="S144" s="361"/>
    </row>
    <row r="145" spans="2:19">
      <c r="B145" s="38"/>
      <c r="C145" s="403"/>
      <c r="D145" s="403"/>
      <c r="E145" s="403"/>
      <c r="F145" s="403"/>
      <c r="G145" s="403"/>
      <c r="H145" s="403"/>
      <c r="I145" s="403"/>
      <c r="J145" s="403"/>
      <c r="K145" s="88"/>
      <c r="L145" s="181"/>
      <c r="M145" s="24"/>
      <c r="R145" s="56"/>
      <c r="S145" s="361"/>
    </row>
    <row r="146" spans="2:19" ht="6" customHeight="1">
      <c r="B146" s="40"/>
      <c r="C146" s="41"/>
      <c r="D146" s="89"/>
      <c r="E146" s="89"/>
      <c r="F146" s="89"/>
      <c r="G146" s="89"/>
      <c r="H146" s="89"/>
      <c r="I146" s="89"/>
      <c r="J146" s="89"/>
      <c r="K146" s="90"/>
      <c r="L146" s="41"/>
      <c r="M146" s="33"/>
      <c r="N146" s="48"/>
      <c r="O146" s="48"/>
      <c r="P146" s="48"/>
      <c r="Q146" s="48"/>
      <c r="R146" s="56"/>
      <c r="S146" s="362"/>
    </row>
    <row r="147" spans="2:19">
      <c r="L147" s="48"/>
      <c r="R147" s="56"/>
    </row>
    <row r="148" spans="2:19" ht="27" customHeight="1">
      <c r="B148" s="365" t="s">
        <v>174</v>
      </c>
      <c r="C148" s="366"/>
      <c r="D148" s="366"/>
      <c r="E148" s="366"/>
      <c r="F148" s="366"/>
      <c r="G148" s="366"/>
      <c r="H148" s="366"/>
      <c r="I148" s="366"/>
      <c r="J148" s="366"/>
      <c r="K148" s="366"/>
      <c r="L148" s="367"/>
      <c r="M148" s="366"/>
      <c r="N148" s="366"/>
      <c r="O148" s="366"/>
      <c r="P148" s="366"/>
      <c r="Q148" s="368"/>
      <c r="R148" s="92"/>
      <c r="S148" s="73" t="str">
        <f>IF(S149="Does not apply","Does not apply",IF(S152="a","Compliant","Not Compliant"))</f>
        <v>Not Compliant</v>
      </c>
    </row>
    <row r="149" spans="2:19">
      <c r="B149" s="24"/>
      <c r="C149" s="372" t="s">
        <v>222</v>
      </c>
      <c r="D149" s="372"/>
      <c r="E149" s="372"/>
      <c r="F149" s="372"/>
      <c r="G149" s="372"/>
      <c r="H149" s="372"/>
      <c r="I149" s="372"/>
      <c r="J149" s="372"/>
      <c r="K149" s="74"/>
      <c r="L149" s="181" t="b">
        <v>0</v>
      </c>
      <c r="M149" s="28"/>
      <c r="N149" s="356" t="str">
        <f>IF(L149=TRUE,"","Third-party certifications that the palm oil and palm kernel oil used in the manufacturing of the product originates from sustainably managed plantations")</f>
        <v>Third-party certifications that the palm oil and palm kernel oil used in the manufacturing of the product originates from sustainably managed plantations</v>
      </c>
      <c r="O149" s="356"/>
      <c r="P149" s="356"/>
      <c r="Q149" s="357"/>
      <c r="R149" s="185" t="b">
        <v>0</v>
      </c>
      <c r="S149" s="369" t="str">
        <f>IF(L149=TRUE,"Does not apply","Apply")</f>
        <v>Apply</v>
      </c>
    </row>
    <row r="150" spans="2:19">
      <c r="B150" s="24"/>
      <c r="C150" s="372"/>
      <c r="D150" s="372"/>
      <c r="E150" s="372"/>
      <c r="F150" s="372"/>
      <c r="G150" s="372"/>
      <c r="H150" s="372"/>
      <c r="I150" s="372"/>
      <c r="J150" s="372"/>
      <c r="K150" s="74"/>
      <c r="L150" s="181"/>
      <c r="M150" s="24"/>
      <c r="N150" s="358"/>
      <c r="O150" s="358"/>
      <c r="P150" s="358"/>
      <c r="Q150" s="359"/>
      <c r="R150" s="56"/>
      <c r="S150" s="370"/>
    </row>
    <row r="151" spans="2:19" ht="6" customHeight="1">
      <c r="B151" s="24"/>
      <c r="L151" s="181"/>
      <c r="M151" s="24"/>
      <c r="N151" s="358"/>
      <c r="O151" s="358"/>
      <c r="P151" s="358"/>
      <c r="Q151" s="359"/>
      <c r="R151" s="56"/>
      <c r="S151" s="371"/>
    </row>
    <row r="152" spans="2:19">
      <c r="B152" s="24"/>
      <c r="C152" t="s">
        <v>223</v>
      </c>
      <c r="L152" s="181" t="b">
        <v>0</v>
      </c>
      <c r="M152" s="24"/>
      <c r="N152" s="358"/>
      <c r="O152" s="358"/>
      <c r="P152" s="358"/>
      <c r="Q152" s="359"/>
      <c r="R152" s="56"/>
      <c r="S152" s="364" t="str">
        <f>IF(AND(L152=TRUE,R149=TRUE),"a","r")</f>
        <v>r</v>
      </c>
    </row>
    <row r="153" spans="2:19" ht="12.6" customHeight="1">
      <c r="B153" s="24"/>
      <c r="D153" s="374" t="s">
        <v>237</v>
      </c>
      <c r="E153" s="374"/>
      <c r="F153" s="374"/>
      <c r="G153" s="374"/>
      <c r="H153" s="374"/>
      <c r="I153" s="374"/>
      <c r="J153" s="374"/>
      <c r="K153" s="72"/>
      <c r="L153" s="181"/>
      <c r="M153" s="24"/>
      <c r="Q153" s="32"/>
      <c r="R153" s="56"/>
      <c r="S153" s="364"/>
    </row>
    <row r="154" spans="2:19">
      <c r="B154" s="24"/>
      <c r="D154" s="374"/>
      <c r="E154" s="374"/>
      <c r="F154" s="374"/>
      <c r="G154" s="374"/>
      <c r="H154" s="374"/>
      <c r="I154" s="374"/>
      <c r="J154" s="374"/>
      <c r="K154" s="72"/>
      <c r="L154" s="181"/>
      <c r="M154" s="24"/>
      <c r="Q154" s="32"/>
      <c r="R154" s="56"/>
      <c r="S154" s="364"/>
    </row>
    <row r="155" spans="2:19">
      <c r="B155" s="24"/>
      <c r="D155" s="372" t="s">
        <v>238</v>
      </c>
      <c r="E155" s="372"/>
      <c r="F155" s="372"/>
      <c r="G155" s="372"/>
      <c r="H155" s="372"/>
      <c r="I155" s="372"/>
      <c r="J155" s="372"/>
      <c r="K155" s="74"/>
      <c r="L155" s="181"/>
      <c r="M155" s="24"/>
      <c r="Q155" s="32"/>
      <c r="R155" s="56"/>
      <c r="S155" s="364"/>
    </row>
    <row r="156" spans="2:19">
      <c r="B156" s="24"/>
      <c r="D156" s="372"/>
      <c r="E156" s="372"/>
      <c r="F156" s="372"/>
      <c r="G156" s="372"/>
      <c r="H156" s="372"/>
      <c r="I156" s="372"/>
      <c r="J156" s="372"/>
      <c r="K156" s="74"/>
      <c r="M156" s="24"/>
      <c r="Q156" s="32"/>
      <c r="R156" s="56"/>
      <c r="S156" s="364"/>
    </row>
    <row r="157" spans="2:19" ht="6" customHeight="1">
      <c r="B157" s="33"/>
      <c r="C157" s="48"/>
      <c r="D157" s="48"/>
      <c r="E157" s="48"/>
      <c r="F157" s="48"/>
      <c r="G157" s="48"/>
      <c r="H157" s="48"/>
      <c r="I157" s="48"/>
      <c r="J157" s="48"/>
      <c r="K157" s="48"/>
      <c r="L157" s="41"/>
      <c r="M157" s="33"/>
      <c r="N157" s="48"/>
      <c r="O157" s="48"/>
      <c r="P157" s="48"/>
      <c r="Q157" s="62"/>
      <c r="R157" s="23"/>
      <c r="S157" s="85"/>
    </row>
    <row r="159" spans="2:19" ht="27" customHeight="1">
      <c r="B159" s="365" t="s">
        <v>175</v>
      </c>
      <c r="C159" s="366"/>
      <c r="D159" s="366"/>
      <c r="E159" s="366"/>
      <c r="F159" s="366"/>
      <c r="G159" s="366"/>
      <c r="H159" s="366"/>
      <c r="I159" s="366"/>
      <c r="J159" s="366"/>
      <c r="K159" s="366"/>
      <c r="L159" s="366"/>
      <c r="M159" s="366"/>
      <c r="N159" s="366"/>
      <c r="O159" s="366"/>
      <c r="P159" s="366"/>
      <c r="Q159" s="368"/>
      <c r="R159" s="92"/>
      <c r="S159" s="73" t="str">
        <f>IF(AND(S160="a",S163="a",R160=TRUE),"Compliant","Not Compliant")</f>
        <v>Not Compliant</v>
      </c>
    </row>
    <row r="160" spans="2:19">
      <c r="B160" s="24"/>
      <c r="C160" s="372" t="s">
        <v>224</v>
      </c>
      <c r="D160" s="372"/>
      <c r="E160" s="372"/>
      <c r="F160" s="372"/>
      <c r="G160" s="372"/>
      <c r="H160" s="372"/>
      <c r="I160" s="372"/>
      <c r="J160" s="372"/>
      <c r="K160" s="74"/>
      <c r="L160" s="181" t="b">
        <v>0</v>
      </c>
      <c r="M160" s="28"/>
      <c r="N160" s="356" t="s">
        <v>251</v>
      </c>
      <c r="O160" s="356"/>
      <c r="P160" s="356"/>
      <c r="Q160" s="357"/>
      <c r="R160" s="185" t="b">
        <v>0</v>
      </c>
      <c r="S160" s="360" t="str">
        <f>IF(L160=TRUE,"a","r")</f>
        <v>r</v>
      </c>
    </row>
    <row r="161" spans="2:19">
      <c r="B161" s="24"/>
      <c r="C161" s="372"/>
      <c r="D161" s="372"/>
      <c r="E161" s="372"/>
      <c r="F161" s="372"/>
      <c r="G161" s="372"/>
      <c r="H161" s="372"/>
      <c r="I161" s="372"/>
      <c r="J161" s="372"/>
      <c r="K161" s="74"/>
      <c r="L161" s="181"/>
      <c r="M161" s="24"/>
      <c r="N161" s="358"/>
      <c r="O161" s="358"/>
      <c r="P161" s="358"/>
      <c r="Q161" s="359"/>
      <c r="R161" s="56"/>
      <c r="S161" s="361"/>
    </row>
    <row r="162" spans="2:19" ht="6" customHeight="1">
      <c r="B162" s="24"/>
      <c r="L162" s="181"/>
      <c r="M162" s="24"/>
      <c r="N162" s="358"/>
      <c r="O162" s="358"/>
      <c r="P162" s="358"/>
      <c r="Q162" s="359"/>
      <c r="R162" s="56"/>
      <c r="S162" s="362"/>
    </row>
    <row r="163" spans="2:19">
      <c r="B163" s="24"/>
      <c r="C163" s="363" t="s">
        <v>225</v>
      </c>
      <c r="D163" s="363"/>
      <c r="E163" s="363"/>
      <c r="F163" s="363"/>
      <c r="G163" s="363"/>
      <c r="H163" s="363"/>
      <c r="I163" s="363"/>
      <c r="J163" s="363"/>
      <c r="L163" s="181" t="b">
        <v>0</v>
      </c>
      <c r="M163" s="24"/>
      <c r="Q163" s="32"/>
      <c r="R163" s="56"/>
      <c r="S163" s="364" t="str">
        <f>IF(L163=TRUE,"a","r")</f>
        <v>r</v>
      </c>
    </row>
    <row r="164" spans="2:19" ht="12" customHeight="1">
      <c r="B164" s="24"/>
      <c r="C164" s="363"/>
      <c r="D164" s="363"/>
      <c r="E164" s="363"/>
      <c r="F164" s="363"/>
      <c r="G164" s="363"/>
      <c r="H164" s="363"/>
      <c r="I164" s="363"/>
      <c r="J164" s="363"/>
      <c r="K164" s="72"/>
      <c r="L164" s="181"/>
      <c r="M164" s="24"/>
      <c r="Q164" s="32"/>
      <c r="R164" s="56"/>
      <c r="S164" s="364"/>
    </row>
    <row r="165" spans="2:19" ht="6" customHeight="1">
      <c r="B165" s="33"/>
      <c r="C165" s="48"/>
      <c r="D165" s="48"/>
      <c r="E165" s="48"/>
      <c r="F165" s="48"/>
      <c r="G165" s="48"/>
      <c r="H165" s="48"/>
      <c r="I165" s="48"/>
      <c r="J165" s="48"/>
      <c r="K165" s="48"/>
      <c r="L165" s="41"/>
      <c r="M165" s="33"/>
      <c r="N165" s="48"/>
      <c r="O165" s="48"/>
      <c r="P165" s="48"/>
      <c r="Q165" s="62"/>
      <c r="R165" s="23"/>
      <c r="S165" s="85"/>
    </row>
    <row r="167" spans="2:19" ht="27" customHeight="1">
      <c r="B167" s="365" t="s">
        <v>176</v>
      </c>
      <c r="C167" s="366"/>
      <c r="D167" s="366"/>
      <c r="E167" s="366"/>
      <c r="F167" s="366"/>
      <c r="G167" s="366"/>
      <c r="H167" s="366"/>
      <c r="I167" s="366"/>
      <c r="J167" s="366"/>
      <c r="K167" s="366"/>
      <c r="L167" s="366"/>
      <c r="M167" s="366"/>
      <c r="N167" s="366"/>
      <c r="O167" s="366"/>
      <c r="P167" s="366"/>
      <c r="Q167" s="368"/>
      <c r="R167" s="92"/>
      <c r="S167" s="73" t="str">
        <f>IF(AND(S168="a",S171="a",R168=TRUE),"Compliant","Not Compliant")</f>
        <v>Not Compliant</v>
      </c>
    </row>
    <row r="168" spans="2:19" ht="12.75" customHeight="1">
      <c r="B168" s="24"/>
      <c r="C168" s="1" t="s">
        <v>226</v>
      </c>
      <c r="D168" s="71"/>
      <c r="E168" s="71"/>
      <c r="F168" s="71"/>
      <c r="G168" s="71"/>
      <c r="H168" s="71"/>
      <c r="I168" s="71"/>
      <c r="J168" s="71"/>
      <c r="K168" s="74"/>
      <c r="L168" s="181" t="b">
        <v>0</v>
      </c>
      <c r="M168" s="28"/>
      <c r="N168" s="356" t="s">
        <v>252</v>
      </c>
      <c r="O168" s="356"/>
      <c r="P168" s="356"/>
      <c r="Q168" s="357"/>
      <c r="R168" s="185" t="b">
        <v>0</v>
      </c>
      <c r="S168" s="360" t="str">
        <f>IF(L168=TRUE,"a","r")</f>
        <v>r</v>
      </c>
    </row>
    <row r="169" spans="2:19">
      <c r="B169" s="24"/>
      <c r="C169" s="71"/>
      <c r="D169" s="71"/>
      <c r="E169" s="71"/>
      <c r="F169" s="71"/>
      <c r="G169" s="71"/>
      <c r="H169" s="71"/>
      <c r="I169" s="71"/>
      <c r="J169" s="71"/>
      <c r="K169" s="74"/>
      <c r="L169" s="181"/>
      <c r="M169" s="24"/>
      <c r="N169" s="358"/>
      <c r="O169" s="358"/>
      <c r="P169" s="358"/>
      <c r="Q169" s="359"/>
      <c r="R169" s="56"/>
      <c r="S169" s="361"/>
    </row>
    <row r="170" spans="2:19" ht="6" customHeight="1">
      <c r="B170" s="24"/>
      <c r="L170" s="181"/>
      <c r="M170" s="24"/>
      <c r="N170" s="358"/>
      <c r="O170" s="358"/>
      <c r="P170" s="358"/>
      <c r="Q170" s="359"/>
      <c r="R170" s="56"/>
      <c r="S170" s="362"/>
    </row>
    <row r="171" spans="2:19">
      <c r="B171" s="24"/>
      <c r="C171" s="363" t="s">
        <v>227</v>
      </c>
      <c r="D171" s="363"/>
      <c r="E171" s="363"/>
      <c r="F171" s="363"/>
      <c r="G171" s="363"/>
      <c r="H171" s="363"/>
      <c r="I171" s="363"/>
      <c r="J171" s="363"/>
      <c r="L171" s="181" t="b">
        <v>0</v>
      </c>
      <c r="M171" s="24"/>
      <c r="Q171" s="32"/>
      <c r="R171" s="56"/>
      <c r="S171" s="364" t="str">
        <f>IF(L171=TRUE,"a","r")</f>
        <v>r</v>
      </c>
    </row>
    <row r="172" spans="2:19" ht="12" customHeight="1">
      <c r="B172" s="24"/>
      <c r="C172" s="363"/>
      <c r="D172" s="363"/>
      <c r="E172" s="363"/>
      <c r="F172" s="363"/>
      <c r="G172" s="363"/>
      <c r="H172" s="363"/>
      <c r="I172" s="363"/>
      <c r="J172" s="363"/>
      <c r="K172" s="72"/>
      <c r="L172" s="181"/>
      <c r="M172" s="24"/>
      <c r="Q172" s="32"/>
      <c r="R172" s="56"/>
      <c r="S172" s="364"/>
    </row>
    <row r="173" spans="2:19" ht="6" customHeight="1">
      <c r="B173" s="33"/>
      <c r="C173" s="48"/>
      <c r="D173" s="48"/>
      <c r="E173" s="48"/>
      <c r="F173" s="48"/>
      <c r="G173" s="48"/>
      <c r="H173" s="48"/>
      <c r="I173" s="48"/>
      <c r="J173" s="48"/>
      <c r="K173" s="48"/>
      <c r="L173" s="41"/>
      <c r="M173" s="33"/>
      <c r="N173" s="48"/>
      <c r="O173" s="48"/>
      <c r="P173" s="48"/>
      <c r="Q173" s="62"/>
      <c r="R173" s="23"/>
      <c r="S173" s="85"/>
    </row>
  </sheetData>
  <sheetProtection algorithmName="SHA-512" hashValue="lNTO9HcxRfwIGT4UL4WapEPX9h/uM4aO+iPu3fA0l3jyWLnzfPEBxyDSP4P1RAQiH8Mqv5WDPTEB3cnStBg78g==" saltValue="hLULnNmXfOvT2RrGlY+bJA==" spinCount="100000" sheet="1" selectLockedCells="1"/>
  <mergeCells count="115">
    <mergeCell ref="B167:Q167"/>
    <mergeCell ref="N168:Q170"/>
    <mergeCell ref="S168:S170"/>
    <mergeCell ref="C171:J172"/>
    <mergeCell ref="S171:S172"/>
    <mergeCell ref="C3:J4"/>
    <mergeCell ref="N3:Q4"/>
    <mergeCell ref="N5:Q6"/>
    <mergeCell ref="C10:F10"/>
    <mergeCell ref="B159:Q159"/>
    <mergeCell ref="C160:J161"/>
    <mergeCell ref="N160:Q162"/>
    <mergeCell ref="S160:S162"/>
    <mergeCell ref="C163:J164"/>
    <mergeCell ref="S163:S164"/>
    <mergeCell ref="B148:Q148"/>
    <mergeCell ref="C149:J150"/>
    <mergeCell ref="N149:Q152"/>
    <mergeCell ref="S149:S151"/>
    <mergeCell ref="S152:S156"/>
    <mergeCell ref="D153:J154"/>
    <mergeCell ref="D155:J156"/>
    <mergeCell ref="S137:S142"/>
    <mergeCell ref="S143:S146"/>
    <mergeCell ref="C143:J145"/>
    <mergeCell ref="S122:S125"/>
    <mergeCell ref="S126:S130"/>
    <mergeCell ref="S132:S133"/>
    <mergeCell ref="C134:J135"/>
    <mergeCell ref="S134:S136"/>
    <mergeCell ref="S105:S108"/>
    <mergeCell ref="S110:S111"/>
    <mergeCell ref="C112:J113"/>
    <mergeCell ref="S112:S114"/>
    <mergeCell ref="S115:S121"/>
    <mergeCell ref="C105:J107"/>
    <mergeCell ref="C122:J124"/>
    <mergeCell ref="C126:J129"/>
    <mergeCell ref="S90:S91"/>
    <mergeCell ref="C92:J93"/>
    <mergeCell ref="S92:S94"/>
    <mergeCell ref="C95:J96"/>
    <mergeCell ref="S95:S97"/>
    <mergeCell ref="S98:S104"/>
    <mergeCell ref="S75:S77"/>
    <mergeCell ref="S79:S80"/>
    <mergeCell ref="S81:S83"/>
    <mergeCell ref="S84:S85"/>
    <mergeCell ref="C86:J87"/>
    <mergeCell ref="S86:S88"/>
    <mergeCell ref="C81:J82"/>
    <mergeCell ref="C63:J64"/>
    <mergeCell ref="S63:S64"/>
    <mergeCell ref="S65:S67"/>
    <mergeCell ref="C68:J69"/>
    <mergeCell ref="S68:S71"/>
    <mergeCell ref="C73:J74"/>
    <mergeCell ref="S73:S74"/>
    <mergeCell ref="F58:H58"/>
    <mergeCell ref="I58:J58"/>
    <mergeCell ref="F59:H59"/>
    <mergeCell ref="I59:J59"/>
    <mergeCell ref="F60:H60"/>
    <mergeCell ref="I60:J60"/>
    <mergeCell ref="C49:J50"/>
    <mergeCell ref="S49:S52"/>
    <mergeCell ref="C53:J54"/>
    <mergeCell ref="S53:S61"/>
    <mergeCell ref="F56:H56"/>
    <mergeCell ref="I56:J56"/>
    <mergeCell ref="D57:D59"/>
    <mergeCell ref="E57:E59"/>
    <mergeCell ref="F57:H57"/>
    <mergeCell ref="I57:J57"/>
    <mergeCell ref="C37:J38"/>
    <mergeCell ref="S37:S39"/>
    <mergeCell ref="S40:S47"/>
    <mergeCell ref="E42:F42"/>
    <mergeCell ref="G42:H42"/>
    <mergeCell ref="E43:F43"/>
    <mergeCell ref="G43:H43"/>
    <mergeCell ref="D33:E33"/>
    <mergeCell ref="F33:H33"/>
    <mergeCell ref="I33:J33"/>
    <mergeCell ref="D34:E34"/>
    <mergeCell ref="F34:H34"/>
    <mergeCell ref="I34:J34"/>
    <mergeCell ref="F27:H27"/>
    <mergeCell ref="I27:J27"/>
    <mergeCell ref="S29:S35"/>
    <mergeCell ref="D31:E31"/>
    <mergeCell ref="F31:H31"/>
    <mergeCell ref="I31:J31"/>
    <mergeCell ref="D32:E32"/>
    <mergeCell ref="F32:H32"/>
    <mergeCell ref="I32:J32"/>
    <mergeCell ref="S21:S28"/>
    <mergeCell ref="F23:H23"/>
    <mergeCell ref="I23:J23"/>
    <mergeCell ref="D24:D26"/>
    <mergeCell ref="E24:E26"/>
    <mergeCell ref="F24:H24"/>
    <mergeCell ref="I24:J24"/>
    <mergeCell ref="F25:H25"/>
    <mergeCell ref="I25:J25"/>
    <mergeCell ref="F26:H26"/>
    <mergeCell ref="B15:S15"/>
    <mergeCell ref="C18:J19"/>
    <mergeCell ref="S18:S20"/>
    <mergeCell ref="S11:S13"/>
    <mergeCell ref="N12:Q13"/>
    <mergeCell ref="M1:Q1"/>
    <mergeCell ref="B2:Q2"/>
    <mergeCell ref="S3:S10"/>
    <mergeCell ref="I26:J26"/>
  </mergeCells>
  <conditionalFormatting sqref="L10:M10">
    <cfRule type="cellIs" dxfId="28" priority="49" operator="equal">
      <formula>"""No ok"""</formula>
    </cfRule>
  </conditionalFormatting>
  <conditionalFormatting sqref="S2">
    <cfRule type="cellIs" dxfId="27" priority="43" operator="equal">
      <formula>"Not Compliant"</formula>
    </cfRule>
    <cfRule type="cellIs" dxfId="26" priority="44" operator="equal">
      <formula>"Compliant"</formula>
    </cfRule>
  </conditionalFormatting>
  <conditionalFormatting sqref="S17">
    <cfRule type="cellIs" dxfId="25" priority="25" operator="equal">
      <formula>"Compliant"</formula>
    </cfRule>
    <cfRule type="cellIs" dxfId="24" priority="41" operator="equal">
      <formula>"Not Compliant"</formula>
    </cfRule>
  </conditionalFormatting>
  <conditionalFormatting sqref="S36">
    <cfRule type="cellIs" dxfId="23" priority="23" operator="equal">
      <formula>"Not Compliant"</formula>
    </cfRule>
    <cfRule type="cellIs" dxfId="22" priority="24" operator="equal">
      <formula>"Compliant"</formula>
    </cfRule>
  </conditionalFormatting>
  <conditionalFormatting sqref="S48">
    <cfRule type="cellIs" dxfId="21" priority="21" operator="equal">
      <formula>"Not Compliant"</formula>
    </cfRule>
    <cfRule type="cellIs" dxfId="20" priority="22" operator="equal">
      <formula>"Compliant"</formula>
    </cfRule>
  </conditionalFormatting>
  <conditionalFormatting sqref="S62">
    <cfRule type="cellIs" dxfId="19" priority="19" operator="equal">
      <formula>"Compliant"</formula>
    </cfRule>
    <cfRule type="cellIs" dxfId="18" priority="20" operator="equal">
      <formula>"Not Compliant"</formula>
    </cfRule>
  </conditionalFormatting>
  <conditionalFormatting sqref="S72">
    <cfRule type="cellIs" dxfId="17" priority="17" operator="equal">
      <formula>"Compliant"</formula>
    </cfRule>
    <cfRule type="cellIs" dxfId="16" priority="18" operator="equal">
      <formula>"Not Compliant"</formula>
    </cfRule>
  </conditionalFormatting>
  <conditionalFormatting sqref="S78">
    <cfRule type="cellIs" dxfId="15" priority="15" operator="equal">
      <formula>"Compliant"</formula>
    </cfRule>
    <cfRule type="cellIs" dxfId="14" priority="16" operator="equal">
      <formula>"Not Compliant"</formula>
    </cfRule>
  </conditionalFormatting>
  <conditionalFormatting sqref="S89">
    <cfRule type="cellIs" dxfId="13" priority="13" operator="equal">
      <formula>"Not Compliant"</formula>
    </cfRule>
    <cfRule type="cellIs" dxfId="12" priority="14" operator="equal">
      <formula>"Compliant"</formula>
    </cfRule>
  </conditionalFormatting>
  <conditionalFormatting sqref="S109">
    <cfRule type="cellIs" dxfId="11" priority="11" operator="equal">
      <formula>"Not Compliant"</formula>
    </cfRule>
    <cfRule type="cellIs" dxfId="10" priority="12" operator="equal">
      <formula>"Compliant"</formula>
    </cfRule>
  </conditionalFormatting>
  <conditionalFormatting sqref="S131">
    <cfRule type="cellIs" dxfId="9" priority="9" operator="equal">
      <formula>"Compliant"</formula>
    </cfRule>
    <cfRule type="cellIs" dxfId="8" priority="10" operator="equal">
      <formula>"Not Compliant"</formula>
    </cfRule>
  </conditionalFormatting>
  <conditionalFormatting sqref="S148">
    <cfRule type="cellIs" dxfId="7" priority="7" operator="equal">
      <formula>"Compliant"</formula>
    </cfRule>
    <cfRule type="cellIs" dxfId="6" priority="8" operator="equal">
      <formula>"Not Compliant"</formula>
    </cfRule>
  </conditionalFormatting>
  <conditionalFormatting sqref="S159">
    <cfRule type="cellIs" dxfId="5" priority="5" operator="equal">
      <formula>"Compliant"</formula>
    </cfRule>
    <cfRule type="cellIs" dxfId="4" priority="6" operator="equal">
      <formula>"Not Compliant"</formula>
    </cfRule>
  </conditionalFormatting>
  <conditionalFormatting sqref="S167">
    <cfRule type="cellIs" dxfId="3" priority="3" operator="equal">
      <formula>"Compliant"</formula>
    </cfRule>
    <cfRule type="cellIs" dxfId="2" priority="4" operator="equal">
      <formula>"Not Compliant"</formula>
    </cfRule>
  </conditionalFormatting>
  <conditionalFormatting sqref="S16">
    <cfRule type="cellIs" dxfId="1" priority="1" operator="equal">
      <formula>"Compliant"</formula>
    </cfRule>
    <cfRule type="cellIs" dxfId="0" priority="2" operator="equal">
      <formula>"Not Compliant"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30480</xdr:colOff>
                    <xdr:row>1</xdr:row>
                    <xdr:rowOff>342900</xdr:rowOff>
                  </from>
                  <to>
                    <xdr:col>3</xdr:col>
                    <xdr:colOff>106680</xdr:colOff>
                    <xdr:row>3</xdr:row>
                    <xdr:rowOff>22860</xdr:rowOff>
                  </to>
                </anchor>
              </controlPr>
            </control>
          </mc:Choice>
        </mc:AlternateContent>
        <mc:AlternateContent xmlns:mc="http://schemas.openxmlformats.org/markup-compatibility/2006">
          <mc:Choice Requires="x14">
            <control shapeId="20485" r:id="rId5" name="Check Box 5">
              <controlPr defaultSize="0" autoFill="0" autoLine="0" autoPict="0">
                <anchor moveWithCells="1">
                  <from>
                    <xdr:col>1</xdr:col>
                    <xdr:colOff>22860</xdr:colOff>
                    <xdr:row>10</xdr:row>
                    <xdr:rowOff>137160</xdr:rowOff>
                  </from>
                  <to>
                    <xdr:col>3</xdr:col>
                    <xdr:colOff>114300</xdr:colOff>
                    <xdr:row>12</xdr:row>
                    <xdr:rowOff>38100</xdr:rowOff>
                  </to>
                </anchor>
              </controlPr>
            </control>
          </mc:Choice>
        </mc:AlternateContent>
        <mc:AlternateContent xmlns:mc="http://schemas.openxmlformats.org/markup-compatibility/2006">
          <mc:Choice Requires="x14">
            <control shapeId="20486" r:id="rId6" name="Check Box 6">
              <controlPr defaultSize="0" autoFill="0" autoLine="0" autoPict="0">
                <anchor moveWithCells="1">
                  <from>
                    <xdr:col>12</xdr:col>
                    <xdr:colOff>22860</xdr:colOff>
                    <xdr:row>2</xdr:row>
                    <xdr:rowOff>7620</xdr:rowOff>
                  </from>
                  <to>
                    <xdr:col>13</xdr:col>
                    <xdr:colOff>449580</xdr:colOff>
                    <xdr:row>3</xdr:row>
                    <xdr:rowOff>30480</xdr:rowOff>
                  </to>
                </anchor>
              </controlPr>
            </control>
          </mc:Choice>
        </mc:AlternateContent>
        <mc:AlternateContent xmlns:mc="http://schemas.openxmlformats.org/markup-compatibility/2006">
          <mc:Choice Requires="x14">
            <control shapeId="20520" r:id="rId7" name="Check Box 40">
              <controlPr defaultSize="0" autoFill="0" autoLine="0" autoPict="0">
                <anchor moveWithCells="1">
                  <from>
                    <xdr:col>1</xdr:col>
                    <xdr:colOff>7620</xdr:colOff>
                    <xdr:row>147</xdr:row>
                    <xdr:rowOff>312420</xdr:rowOff>
                  </from>
                  <to>
                    <xdr:col>3</xdr:col>
                    <xdr:colOff>121920</xdr:colOff>
                    <xdr:row>149</xdr:row>
                    <xdr:rowOff>30480</xdr:rowOff>
                  </to>
                </anchor>
              </controlPr>
            </control>
          </mc:Choice>
        </mc:AlternateContent>
        <mc:AlternateContent xmlns:mc="http://schemas.openxmlformats.org/markup-compatibility/2006">
          <mc:Choice Requires="x14">
            <control shapeId="20521" r:id="rId8" name="Check Box 41">
              <controlPr defaultSize="0" autoFill="0" autoLine="0" autoPict="0">
                <anchor moveWithCells="1">
                  <from>
                    <xdr:col>1</xdr:col>
                    <xdr:colOff>30480</xdr:colOff>
                    <xdr:row>150</xdr:row>
                    <xdr:rowOff>144780</xdr:rowOff>
                  </from>
                  <to>
                    <xdr:col>3</xdr:col>
                    <xdr:colOff>144780</xdr:colOff>
                    <xdr:row>152</xdr:row>
                    <xdr:rowOff>45720</xdr:rowOff>
                  </to>
                </anchor>
              </controlPr>
            </control>
          </mc:Choice>
        </mc:AlternateContent>
        <mc:AlternateContent xmlns:mc="http://schemas.openxmlformats.org/markup-compatibility/2006">
          <mc:Choice Requires="x14">
            <control shapeId="20522" r:id="rId9" name="Check Box 42">
              <controlPr defaultSize="0" autoFill="0" autoLine="0" autoPict="0">
                <anchor moveWithCells="1">
                  <from>
                    <xdr:col>2</xdr:col>
                    <xdr:colOff>30480</xdr:colOff>
                    <xdr:row>151</xdr:row>
                    <xdr:rowOff>144780</xdr:rowOff>
                  </from>
                  <to>
                    <xdr:col>3</xdr:col>
                    <xdr:colOff>403860</xdr:colOff>
                    <xdr:row>153</xdr:row>
                    <xdr:rowOff>38100</xdr:rowOff>
                  </to>
                </anchor>
              </controlPr>
            </control>
          </mc:Choice>
        </mc:AlternateContent>
        <mc:AlternateContent xmlns:mc="http://schemas.openxmlformats.org/markup-compatibility/2006">
          <mc:Choice Requires="x14">
            <control shapeId="20523" r:id="rId10" name="Check Box 43">
              <controlPr defaultSize="0" autoFill="0" autoLine="0" autoPict="0">
                <anchor moveWithCells="1">
                  <from>
                    <xdr:col>2</xdr:col>
                    <xdr:colOff>30480</xdr:colOff>
                    <xdr:row>153</xdr:row>
                    <xdr:rowOff>137160</xdr:rowOff>
                  </from>
                  <to>
                    <xdr:col>3</xdr:col>
                    <xdr:colOff>411480</xdr:colOff>
                    <xdr:row>155</xdr:row>
                    <xdr:rowOff>30480</xdr:rowOff>
                  </to>
                </anchor>
              </controlPr>
            </control>
          </mc:Choice>
        </mc:AlternateContent>
        <mc:AlternateContent xmlns:mc="http://schemas.openxmlformats.org/markup-compatibility/2006">
          <mc:Choice Requires="x14">
            <control shapeId="20525" r:id="rId11" name="Check Box 45">
              <controlPr defaultSize="0" autoFill="0" autoLine="0" autoPict="0">
                <anchor moveWithCells="1">
                  <from>
                    <xdr:col>0</xdr:col>
                    <xdr:colOff>236220</xdr:colOff>
                    <xdr:row>16</xdr:row>
                    <xdr:rowOff>137160</xdr:rowOff>
                  </from>
                  <to>
                    <xdr:col>3</xdr:col>
                    <xdr:colOff>190500</xdr:colOff>
                    <xdr:row>18</xdr:row>
                    <xdr:rowOff>22860</xdr:rowOff>
                  </to>
                </anchor>
              </controlPr>
            </control>
          </mc:Choice>
        </mc:AlternateContent>
        <mc:AlternateContent xmlns:mc="http://schemas.openxmlformats.org/markup-compatibility/2006">
          <mc:Choice Requires="x14">
            <control shapeId="20526" r:id="rId12" name="Check Box 46">
              <controlPr defaultSize="0" autoFill="0" autoLine="0" autoPict="0">
                <anchor moveWithCells="1">
                  <from>
                    <xdr:col>1</xdr:col>
                    <xdr:colOff>0</xdr:colOff>
                    <xdr:row>19</xdr:row>
                    <xdr:rowOff>45720</xdr:rowOff>
                  </from>
                  <to>
                    <xdr:col>3</xdr:col>
                    <xdr:colOff>198120</xdr:colOff>
                    <xdr:row>21</xdr:row>
                    <xdr:rowOff>22860</xdr:rowOff>
                  </to>
                </anchor>
              </controlPr>
            </control>
          </mc:Choice>
        </mc:AlternateContent>
        <mc:AlternateContent xmlns:mc="http://schemas.openxmlformats.org/markup-compatibility/2006">
          <mc:Choice Requires="x14">
            <control shapeId="20527" r:id="rId13" name="Check Box 47">
              <controlPr defaultSize="0" autoFill="0" autoLine="0" autoPict="0">
                <anchor moveWithCells="1">
                  <from>
                    <xdr:col>1</xdr:col>
                    <xdr:colOff>7620</xdr:colOff>
                    <xdr:row>27</xdr:row>
                    <xdr:rowOff>60960</xdr:rowOff>
                  </from>
                  <to>
                    <xdr:col>3</xdr:col>
                    <xdr:colOff>213360</xdr:colOff>
                    <xdr:row>29</xdr:row>
                    <xdr:rowOff>30480</xdr:rowOff>
                  </to>
                </anchor>
              </controlPr>
            </control>
          </mc:Choice>
        </mc:AlternateContent>
        <mc:AlternateContent xmlns:mc="http://schemas.openxmlformats.org/markup-compatibility/2006">
          <mc:Choice Requires="x14">
            <control shapeId="20528" r:id="rId14" name="Check Box 48">
              <controlPr defaultSize="0" autoFill="0" autoLine="0" autoPict="0">
                <anchor moveWithCells="1">
                  <from>
                    <xdr:col>1</xdr:col>
                    <xdr:colOff>0</xdr:colOff>
                    <xdr:row>35</xdr:row>
                    <xdr:rowOff>144780</xdr:rowOff>
                  </from>
                  <to>
                    <xdr:col>3</xdr:col>
                    <xdr:colOff>198120</xdr:colOff>
                    <xdr:row>37</xdr:row>
                    <xdr:rowOff>30480</xdr:rowOff>
                  </to>
                </anchor>
              </controlPr>
            </control>
          </mc:Choice>
        </mc:AlternateContent>
        <mc:AlternateContent xmlns:mc="http://schemas.openxmlformats.org/markup-compatibility/2006">
          <mc:Choice Requires="x14">
            <control shapeId="20529" r:id="rId15" name="Check Box 49">
              <controlPr defaultSize="0" autoFill="0" autoLine="0" autoPict="0">
                <anchor moveWithCells="1">
                  <from>
                    <xdr:col>1</xdr:col>
                    <xdr:colOff>0</xdr:colOff>
                    <xdr:row>38</xdr:row>
                    <xdr:rowOff>45720</xdr:rowOff>
                  </from>
                  <to>
                    <xdr:col>3</xdr:col>
                    <xdr:colOff>198120</xdr:colOff>
                    <xdr:row>40</xdr:row>
                    <xdr:rowOff>22860</xdr:rowOff>
                  </to>
                </anchor>
              </controlPr>
            </control>
          </mc:Choice>
        </mc:AlternateContent>
        <mc:AlternateContent xmlns:mc="http://schemas.openxmlformats.org/markup-compatibility/2006">
          <mc:Choice Requires="x14">
            <control shapeId="20530" r:id="rId16" name="Check Box 50">
              <controlPr defaultSize="0" autoFill="0" autoLine="0" autoPict="0">
                <anchor moveWithCells="1">
                  <from>
                    <xdr:col>1</xdr:col>
                    <xdr:colOff>30480</xdr:colOff>
                    <xdr:row>48</xdr:row>
                    <xdr:rowOff>0</xdr:rowOff>
                  </from>
                  <to>
                    <xdr:col>3</xdr:col>
                    <xdr:colOff>228600</xdr:colOff>
                    <xdr:row>49</xdr:row>
                    <xdr:rowOff>22860</xdr:rowOff>
                  </to>
                </anchor>
              </controlPr>
            </control>
          </mc:Choice>
        </mc:AlternateContent>
        <mc:AlternateContent xmlns:mc="http://schemas.openxmlformats.org/markup-compatibility/2006">
          <mc:Choice Requires="x14">
            <control shapeId="20531" r:id="rId17" name="Check Box 51">
              <controlPr defaultSize="0" autoFill="0" autoLine="0" autoPict="0">
                <anchor moveWithCells="1">
                  <from>
                    <xdr:col>1</xdr:col>
                    <xdr:colOff>45720</xdr:colOff>
                    <xdr:row>51</xdr:row>
                    <xdr:rowOff>144780</xdr:rowOff>
                  </from>
                  <to>
                    <xdr:col>3</xdr:col>
                    <xdr:colOff>251460</xdr:colOff>
                    <xdr:row>53</xdr:row>
                    <xdr:rowOff>45720</xdr:rowOff>
                  </to>
                </anchor>
              </controlPr>
            </control>
          </mc:Choice>
        </mc:AlternateContent>
        <mc:AlternateContent xmlns:mc="http://schemas.openxmlformats.org/markup-compatibility/2006">
          <mc:Choice Requires="x14">
            <control shapeId="20532" r:id="rId18" name="Check Box 52">
              <controlPr defaultSize="0" autoFill="0" autoLine="0" autoPict="0">
                <anchor moveWithCells="1">
                  <from>
                    <xdr:col>1</xdr:col>
                    <xdr:colOff>30480</xdr:colOff>
                    <xdr:row>61</xdr:row>
                    <xdr:rowOff>175260</xdr:rowOff>
                  </from>
                  <to>
                    <xdr:col>3</xdr:col>
                    <xdr:colOff>228600</xdr:colOff>
                    <xdr:row>63</xdr:row>
                    <xdr:rowOff>30480</xdr:rowOff>
                  </to>
                </anchor>
              </controlPr>
            </control>
          </mc:Choice>
        </mc:AlternateContent>
        <mc:AlternateContent xmlns:mc="http://schemas.openxmlformats.org/markup-compatibility/2006">
          <mc:Choice Requires="x14">
            <control shapeId="20533" r:id="rId19" name="Check Box 53">
              <controlPr defaultSize="0" autoFill="0" autoLine="0" autoPict="0">
                <anchor moveWithCells="1">
                  <from>
                    <xdr:col>1</xdr:col>
                    <xdr:colOff>22860</xdr:colOff>
                    <xdr:row>64</xdr:row>
                    <xdr:rowOff>121920</xdr:rowOff>
                  </from>
                  <to>
                    <xdr:col>3</xdr:col>
                    <xdr:colOff>220980</xdr:colOff>
                    <xdr:row>66</xdr:row>
                    <xdr:rowOff>45720</xdr:rowOff>
                  </to>
                </anchor>
              </controlPr>
            </control>
          </mc:Choice>
        </mc:AlternateContent>
        <mc:AlternateContent xmlns:mc="http://schemas.openxmlformats.org/markup-compatibility/2006">
          <mc:Choice Requires="x14">
            <control shapeId="20534" r:id="rId20" name="Check Box 54">
              <controlPr defaultSize="0" autoFill="0" autoLine="0" autoPict="0">
                <anchor moveWithCells="1">
                  <from>
                    <xdr:col>1</xdr:col>
                    <xdr:colOff>38100</xdr:colOff>
                    <xdr:row>66</xdr:row>
                    <xdr:rowOff>144780</xdr:rowOff>
                  </from>
                  <to>
                    <xdr:col>3</xdr:col>
                    <xdr:colOff>236220</xdr:colOff>
                    <xdr:row>68</xdr:row>
                    <xdr:rowOff>45720</xdr:rowOff>
                  </to>
                </anchor>
              </controlPr>
            </control>
          </mc:Choice>
        </mc:AlternateContent>
        <mc:AlternateContent xmlns:mc="http://schemas.openxmlformats.org/markup-compatibility/2006">
          <mc:Choice Requires="x14">
            <control shapeId="20535" r:id="rId21" name="Check Box 55">
              <controlPr defaultSize="0" autoFill="0" autoLine="0" autoPict="0">
                <anchor moveWithCells="1">
                  <from>
                    <xdr:col>2</xdr:col>
                    <xdr:colOff>45720</xdr:colOff>
                    <xdr:row>68</xdr:row>
                    <xdr:rowOff>152400</xdr:rowOff>
                  </from>
                  <to>
                    <xdr:col>3</xdr:col>
                    <xdr:colOff>495300</xdr:colOff>
                    <xdr:row>70</xdr:row>
                    <xdr:rowOff>7620</xdr:rowOff>
                  </to>
                </anchor>
              </controlPr>
            </control>
          </mc:Choice>
        </mc:AlternateContent>
        <mc:AlternateContent xmlns:mc="http://schemas.openxmlformats.org/markup-compatibility/2006">
          <mc:Choice Requires="x14">
            <control shapeId="20536" r:id="rId22" name="Check Box 56">
              <controlPr defaultSize="0" autoFill="0" autoLine="0" autoPict="0">
                <anchor moveWithCells="1">
                  <from>
                    <xdr:col>12</xdr:col>
                    <xdr:colOff>45720</xdr:colOff>
                    <xdr:row>16</xdr:row>
                    <xdr:rowOff>152400</xdr:rowOff>
                  </from>
                  <to>
                    <xdr:col>13</xdr:col>
                    <xdr:colOff>464820</xdr:colOff>
                    <xdr:row>18</xdr:row>
                    <xdr:rowOff>22860</xdr:rowOff>
                  </to>
                </anchor>
              </controlPr>
            </control>
          </mc:Choice>
        </mc:AlternateContent>
        <mc:AlternateContent xmlns:mc="http://schemas.openxmlformats.org/markup-compatibility/2006">
          <mc:Choice Requires="x14">
            <control shapeId="20537" r:id="rId23" name="Check Box 57">
              <controlPr defaultSize="0" autoFill="0" autoLine="0" autoPict="0">
                <anchor moveWithCells="1">
                  <from>
                    <xdr:col>12</xdr:col>
                    <xdr:colOff>45720</xdr:colOff>
                    <xdr:row>19</xdr:row>
                    <xdr:rowOff>60960</xdr:rowOff>
                  </from>
                  <to>
                    <xdr:col>13</xdr:col>
                    <xdr:colOff>464820</xdr:colOff>
                    <xdr:row>21</xdr:row>
                    <xdr:rowOff>7620</xdr:rowOff>
                  </to>
                </anchor>
              </controlPr>
            </control>
          </mc:Choice>
        </mc:AlternateContent>
        <mc:AlternateContent xmlns:mc="http://schemas.openxmlformats.org/markup-compatibility/2006">
          <mc:Choice Requires="x14">
            <control shapeId="20538" r:id="rId24" name="Check Box 58">
              <controlPr defaultSize="0" autoFill="0" autoLine="0" autoPict="0">
                <anchor moveWithCells="1">
                  <from>
                    <xdr:col>2</xdr:col>
                    <xdr:colOff>45720</xdr:colOff>
                    <xdr:row>43</xdr:row>
                    <xdr:rowOff>114300</xdr:rowOff>
                  </from>
                  <to>
                    <xdr:col>3</xdr:col>
                    <xdr:colOff>495300</xdr:colOff>
                    <xdr:row>45</xdr:row>
                    <xdr:rowOff>45720</xdr:rowOff>
                  </to>
                </anchor>
              </controlPr>
            </control>
          </mc:Choice>
        </mc:AlternateContent>
        <mc:AlternateContent xmlns:mc="http://schemas.openxmlformats.org/markup-compatibility/2006">
          <mc:Choice Requires="x14">
            <control shapeId="20539" r:id="rId25" name="Check Box 59">
              <controlPr defaultSize="0" autoFill="0" autoLine="0" autoPict="0">
                <anchor moveWithCells="1">
                  <from>
                    <xdr:col>2</xdr:col>
                    <xdr:colOff>45720</xdr:colOff>
                    <xdr:row>44</xdr:row>
                    <xdr:rowOff>137160</xdr:rowOff>
                  </from>
                  <to>
                    <xdr:col>3</xdr:col>
                    <xdr:colOff>495300</xdr:colOff>
                    <xdr:row>46</xdr:row>
                    <xdr:rowOff>22860</xdr:rowOff>
                  </to>
                </anchor>
              </controlPr>
            </control>
          </mc:Choice>
        </mc:AlternateContent>
        <mc:AlternateContent xmlns:mc="http://schemas.openxmlformats.org/markup-compatibility/2006">
          <mc:Choice Requires="x14">
            <control shapeId="20540" r:id="rId26" name="Check Box 60">
              <controlPr defaultSize="0" autoFill="0" autoLine="0" autoPict="0">
                <anchor moveWithCells="1">
                  <from>
                    <xdr:col>1</xdr:col>
                    <xdr:colOff>38100</xdr:colOff>
                    <xdr:row>71</xdr:row>
                    <xdr:rowOff>160020</xdr:rowOff>
                  </from>
                  <to>
                    <xdr:col>3</xdr:col>
                    <xdr:colOff>236220</xdr:colOff>
                    <xdr:row>73</xdr:row>
                    <xdr:rowOff>22860</xdr:rowOff>
                  </to>
                </anchor>
              </controlPr>
            </control>
          </mc:Choice>
        </mc:AlternateContent>
        <mc:AlternateContent xmlns:mc="http://schemas.openxmlformats.org/markup-compatibility/2006">
          <mc:Choice Requires="x14">
            <control shapeId="20541" r:id="rId27" name="Check Box 61">
              <controlPr defaultSize="0" autoFill="0" autoLine="0" autoPict="0">
                <anchor moveWithCells="1">
                  <from>
                    <xdr:col>1</xdr:col>
                    <xdr:colOff>45720</xdr:colOff>
                    <xdr:row>74</xdr:row>
                    <xdr:rowOff>121920</xdr:rowOff>
                  </from>
                  <to>
                    <xdr:col>3</xdr:col>
                    <xdr:colOff>251460</xdr:colOff>
                    <xdr:row>76</xdr:row>
                    <xdr:rowOff>45720</xdr:rowOff>
                  </to>
                </anchor>
              </controlPr>
            </control>
          </mc:Choice>
        </mc:AlternateContent>
        <mc:AlternateContent xmlns:mc="http://schemas.openxmlformats.org/markup-compatibility/2006">
          <mc:Choice Requires="x14">
            <control shapeId="20542" r:id="rId28" name="Check Box 62">
              <controlPr defaultSize="0" autoFill="0" autoLine="0" autoPict="0">
                <anchor moveWithCells="1">
                  <from>
                    <xdr:col>1</xdr:col>
                    <xdr:colOff>38100</xdr:colOff>
                    <xdr:row>77</xdr:row>
                    <xdr:rowOff>160020</xdr:rowOff>
                  </from>
                  <to>
                    <xdr:col>3</xdr:col>
                    <xdr:colOff>236220</xdr:colOff>
                    <xdr:row>79</xdr:row>
                    <xdr:rowOff>22860</xdr:rowOff>
                  </to>
                </anchor>
              </controlPr>
            </control>
          </mc:Choice>
        </mc:AlternateContent>
        <mc:AlternateContent xmlns:mc="http://schemas.openxmlformats.org/markup-compatibility/2006">
          <mc:Choice Requires="x14">
            <control shapeId="20543" r:id="rId29" name="Check Box 63">
              <controlPr defaultSize="0" autoFill="0" autoLine="0" autoPict="0">
                <anchor moveWithCells="1">
                  <from>
                    <xdr:col>1</xdr:col>
                    <xdr:colOff>38100</xdr:colOff>
                    <xdr:row>79</xdr:row>
                    <xdr:rowOff>137160</xdr:rowOff>
                  </from>
                  <to>
                    <xdr:col>3</xdr:col>
                    <xdr:colOff>236220</xdr:colOff>
                    <xdr:row>81</xdr:row>
                    <xdr:rowOff>45720</xdr:rowOff>
                  </to>
                </anchor>
              </controlPr>
            </control>
          </mc:Choice>
        </mc:AlternateContent>
        <mc:AlternateContent xmlns:mc="http://schemas.openxmlformats.org/markup-compatibility/2006">
          <mc:Choice Requires="x14">
            <control shapeId="20546" r:id="rId30" name="Check Box 66">
              <controlPr defaultSize="0" autoFill="0" autoLine="0" autoPict="0">
                <anchor moveWithCells="1">
                  <from>
                    <xdr:col>1</xdr:col>
                    <xdr:colOff>30480</xdr:colOff>
                    <xdr:row>84</xdr:row>
                    <xdr:rowOff>152400</xdr:rowOff>
                  </from>
                  <to>
                    <xdr:col>3</xdr:col>
                    <xdr:colOff>228600</xdr:colOff>
                    <xdr:row>86</xdr:row>
                    <xdr:rowOff>45720</xdr:rowOff>
                  </to>
                </anchor>
              </controlPr>
            </control>
          </mc:Choice>
        </mc:AlternateContent>
        <mc:AlternateContent xmlns:mc="http://schemas.openxmlformats.org/markup-compatibility/2006">
          <mc:Choice Requires="x14">
            <control shapeId="20547" r:id="rId31" name="Check Box 67">
              <controlPr defaultSize="0" autoFill="0" autoLine="0" autoPict="0">
                <anchor moveWithCells="1">
                  <from>
                    <xdr:col>1</xdr:col>
                    <xdr:colOff>22860</xdr:colOff>
                    <xdr:row>88</xdr:row>
                    <xdr:rowOff>182880</xdr:rowOff>
                  </from>
                  <to>
                    <xdr:col>3</xdr:col>
                    <xdr:colOff>220980</xdr:colOff>
                    <xdr:row>90</xdr:row>
                    <xdr:rowOff>38100</xdr:rowOff>
                  </to>
                </anchor>
              </controlPr>
            </control>
          </mc:Choice>
        </mc:AlternateContent>
        <mc:AlternateContent xmlns:mc="http://schemas.openxmlformats.org/markup-compatibility/2006">
          <mc:Choice Requires="x14">
            <control shapeId="20548" r:id="rId32" name="Check Box 68">
              <controlPr defaultSize="0" autoFill="0" autoLine="0" autoPict="0">
                <anchor moveWithCells="1">
                  <from>
                    <xdr:col>1</xdr:col>
                    <xdr:colOff>7620</xdr:colOff>
                    <xdr:row>90</xdr:row>
                    <xdr:rowOff>137160</xdr:rowOff>
                  </from>
                  <to>
                    <xdr:col>3</xdr:col>
                    <xdr:colOff>213360</xdr:colOff>
                    <xdr:row>92</xdr:row>
                    <xdr:rowOff>45720</xdr:rowOff>
                  </to>
                </anchor>
              </controlPr>
            </control>
          </mc:Choice>
        </mc:AlternateContent>
        <mc:AlternateContent xmlns:mc="http://schemas.openxmlformats.org/markup-compatibility/2006">
          <mc:Choice Requires="x14">
            <control shapeId="20549" r:id="rId33" name="Check Box 69">
              <controlPr defaultSize="0" autoFill="0" autoLine="0" autoPict="0">
                <anchor moveWithCells="1">
                  <from>
                    <xdr:col>1</xdr:col>
                    <xdr:colOff>22860</xdr:colOff>
                    <xdr:row>93</xdr:row>
                    <xdr:rowOff>137160</xdr:rowOff>
                  </from>
                  <to>
                    <xdr:col>3</xdr:col>
                    <xdr:colOff>220980</xdr:colOff>
                    <xdr:row>95</xdr:row>
                    <xdr:rowOff>45720</xdr:rowOff>
                  </to>
                </anchor>
              </controlPr>
            </control>
          </mc:Choice>
        </mc:AlternateContent>
        <mc:AlternateContent xmlns:mc="http://schemas.openxmlformats.org/markup-compatibility/2006">
          <mc:Choice Requires="x14">
            <control shapeId="20550" r:id="rId34" name="Check Box 70">
              <controlPr defaultSize="0" autoFill="0" autoLine="0" autoPict="0">
                <anchor moveWithCells="1">
                  <from>
                    <xdr:col>1</xdr:col>
                    <xdr:colOff>22860</xdr:colOff>
                    <xdr:row>96</xdr:row>
                    <xdr:rowOff>144780</xdr:rowOff>
                  </from>
                  <to>
                    <xdr:col>3</xdr:col>
                    <xdr:colOff>220980</xdr:colOff>
                    <xdr:row>98</xdr:row>
                    <xdr:rowOff>45720</xdr:rowOff>
                  </to>
                </anchor>
              </controlPr>
            </control>
          </mc:Choice>
        </mc:AlternateContent>
        <mc:AlternateContent xmlns:mc="http://schemas.openxmlformats.org/markup-compatibility/2006">
          <mc:Choice Requires="x14">
            <control shapeId="20551" r:id="rId35" name="Check Box 71">
              <controlPr defaultSize="0" autoFill="0" autoLine="0" autoPict="0">
                <anchor moveWithCells="1">
                  <from>
                    <xdr:col>1</xdr:col>
                    <xdr:colOff>38100</xdr:colOff>
                    <xdr:row>103</xdr:row>
                    <xdr:rowOff>137160</xdr:rowOff>
                  </from>
                  <to>
                    <xdr:col>3</xdr:col>
                    <xdr:colOff>236220</xdr:colOff>
                    <xdr:row>105</xdr:row>
                    <xdr:rowOff>45720</xdr:rowOff>
                  </to>
                </anchor>
              </controlPr>
            </control>
          </mc:Choice>
        </mc:AlternateContent>
        <mc:AlternateContent xmlns:mc="http://schemas.openxmlformats.org/markup-compatibility/2006">
          <mc:Choice Requires="x14">
            <control shapeId="20553" r:id="rId36" name="Check Box 73">
              <controlPr defaultSize="0" autoFill="0" autoLine="0" autoPict="0">
                <anchor moveWithCells="1">
                  <from>
                    <xdr:col>1</xdr:col>
                    <xdr:colOff>22860</xdr:colOff>
                    <xdr:row>108</xdr:row>
                    <xdr:rowOff>175260</xdr:rowOff>
                  </from>
                  <to>
                    <xdr:col>3</xdr:col>
                    <xdr:colOff>220980</xdr:colOff>
                    <xdr:row>110</xdr:row>
                    <xdr:rowOff>30480</xdr:rowOff>
                  </to>
                </anchor>
              </controlPr>
            </control>
          </mc:Choice>
        </mc:AlternateContent>
        <mc:AlternateContent xmlns:mc="http://schemas.openxmlformats.org/markup-compatibility/2006">
          <mc:Choice Requires="x14">
            <control shapeId="20554" r:id="rId37" name="Check Box 74">
              <controlPr defaultSize="0" autoFill="0" autoLine="0" autoPict="0">
                <anchor moveWithCells="1">
                  <from>
                    <xdr:col>1</xdr:col>
                    <xdr:colOff>22860</xdr:colOff>
                    <xdr:row>110</xdr:row>
                    <xdr:rowOff>144780</xdr:rowOff>
                  </from>
                  <to>
                    <xdr:col>3</xdr:col>
                    <xdr:colOff>220980</xdr:colOff>
                    <xdr:row>112</xdr:row>
                    <xdr:rowOff>45720</xdr:rowOff>
                  </to>
                </anchor>
              </controlPr>
            </control>
          </mc:Choice>
        </mc:AlternateContent>
        <mc:AlternateContent xmlns:mc="http://schemas.openxmlformats.org/markup-compatibility/2006">
          <mc:Choice Requires="x14">
            <control shapeId="20555" r:id="rId38" name="Check Box 75">
              <controlPr defaultSize="0" autoFill="0" autoLine="0" autoPict="0">
                <anchor moveWithCells="1">
                  <from>
                    <xdr:col>1</xdr:col>
                    <xdr:colOff>7620</xdr:colOff>
                    <xdr:row>113</xdr:row>
                    <xdr:rowOff>144780</xdr:rowOff>
                  </from>
                  <to>
                    <xdr:col>3</xdr:col>
                    <xdr:colOff>213360</xdr:colOff>
                    <xdr:row>115</xdr:row>
                    <xdr:rowOff>45720</xdr:rowOff>
                  </to>
                </anchor>
              </controlPr>
            </control>
          </mc:Choice>
        </mc:AlternateContent>
        <mc:AlternateContent xmlns:mc="http://schemas.openxmlformats.org/markup-compatibility/2006">
          <mc:Choice Requires="x14">
            <control shapeId="20556" r:id="rId39" name="Check Box 76">
              <controlPr defaultSize="0" autoFill="0" autoLine="0" autoPict="0">
                <anchor moveWithCells="1">
                  <from>
                    <xdr:col>1</xdr:col>
                    <xdr:colOff>22860</xdr:colOff>
                    <xdr:row>118</xdr:row>
                    <xdr:rowOff>121920</xdr:rowOff>
                  </from>
                  <to>
                    <xdr:col>3</xdr:col>
                    <xdr:colOff>220980</xdr:colOff>
                    <xdr:row>120</xdr:row>
                    <xdr:rowOff>45720</xdr:rowOff>
                  </to>
                </anchor>
              </controlPr>
            </control>
          </mc:Choice>
        </mc:AlternateContent>
        <mc:AlternateContent xmlns:mc="http://schemas.openxmlformats.org/markup-compatibility/2006">
          <mc:Choice Requires="x14">
            <control shapeId="20557" r:id="rId40" name="Check Box 77">
              <controlPr defaultSize="0" autoFill="0" autoLine="0" autoPict="0">
                <anchor moveWithCells="1">
                  <from>
                    <xdr:col>1</xdr:col>
                    <xdr:colOff>22860</xdr:colOff>
                    <xdr:row>120</xdr:row>
                    <xdr:rowOff>137160</xdr:rowOff>
                  </from>
                  <to>
                    <xdr:col>3</xdr:col>
                    <xdr:colOff>220980</xdr:colOff>
                    <xdr:row>122</xdr:row>
                    <xdr:rowOff>45720</xdr:rowOff>
                  </to>
                </anchor>
              </controlPr>
            </control>
          </mc:Choice>
        </mc:AlternateContent>
        <mc:AlternateContent xmlns:mc="http://schemas.openxmlformats.org/markup-compatibility/2006">
          <mc:Choice Requires="x14">
            <control shapeId="20558" r:id="rId41" name="Check Box 78">
              <controlPr defaultSize="0" autoFill="0" autoLine="0" autoPict="0">
                <anchor moveWithCells="1">
                  <from>
                    <xdr:col>1</xdr:col>
                    <xdr:colOff>38100</xdr:colOff>
                    <xdr:row>124</xdr:row>
                    <xdr:rowOff>144780</xdr:rowOff>
                  </from>
                  <to>
                    <xdr:col>3</xdr:col>
                    <xdr:colOff>236220</xdr:colOff>
                    <xdr:row>126</xdr:row>
                    <xdr:rowOff>45720</xdr:rowOff>
                  </to>
                </anchor>
              </controlPr>
            </control>
          </mc:Choice>
        </mc:AlternateContent>
        <mc:AlternateContent xmlns:mc="http://schemas.openxmlformats.org/markup-compatibility/2006">
          <mc:Choice Requires="x14">
            <control shapeId="20561" r:id="rId42" name="Check Box 81">
              <controlPr defaultSize="0" autoFill="0" autoLine="0" autoPict="0">
                <anchor moveWithCells="1">
                  <from>
                    <xdr:col>1</xdr:col>
                    <xdr:colOff>30480</xdr:colOff>
                    <xdr:row>130</xdr:row>
                    <xdr:rowOff>152400</xdr:rowOff>
                  </from>
                  <to>
                    <xdr:col>3</xdr:col>
                    <xdr:colOff>228600</xdr:colOff>
                    <xdr:row>132</xdr:row>
                    <xdr:rowOff>7620</xdr:rowOff>
                  </to>
                </anchor>
              </controlPr>
            </control>
          </mc:Choice>
        </mc:AlternateContent>
        <mc:AlternateContent xmlns:mc="http://schemas.openxmlformats.org/markup-compatibility/2006">
          <mc:Choice Requires="x14">
            <control shapeId="20562" r:id="rId43" name="Check Box 82">
              <controlPr defaultSize="0" autoFill="0" autoLine="0" autoPict="0">
                <anchor moveWithCells="1">
                  <from>
                    <xdr:col>1</xdr:col>
                    <xdr:colOff>38100</xdr:colOff>
                    <xdr:row>133</xdr:row>
                    <xdr:rowOff>0</xdr:rowOff>
                  </from>
                  <to>
                    <xdr:col>3</xdr:col>
                    <xdr:colOff>236220</xdr:colOff>
                    <xdr:row>134</xdr:row>
                    <xdr:rowOff>45720</xdr:rowOff>
                  </to>
                </anchor>
              </controlPr>
            </control>
          </mc:Choice>
        </mc:AlternateContent>
        <mc:AlternateContent xmlns:mc="http://schemas.openxmlformats.org/markup-compatibility/2006">
          <mc:Choice Requires="x14">
            <control shapeId="20563" r:id="rId44" name="Check Box 83">
              <controlPr defaultSize="0" autoFill="0" autoLine="0" autoPict="0">
                <anchor moveWithCells="1">
                  <from>
                    <xdr:col>1</xdr:col>
                    <xdr:colOff>38100</xdr:colOff>
                    <xdr:row>135</xdr:row>
                    <xdr:rowOff>137160</xdr:rowOff>
                  </from>
                  <to>
                    <xdr:col>3</xdr:col>
                    <xdr:colOff>236220</xdr:colOff>
                    <xdr:row>137</xdr:row>
                    <xdr:rowOff>45720</xdr:rowOff>
                  </to>
                </anchor>
              </controlPr>
            </control>
          </mc:Choice>
        </mc:AlternateContent>
        <mc:AlternateContent xmlns:mc="http://schemas.openxmlformats.org/markup-compatibility/2006">
          <mc:Choice Requires="x14">
            <control shapeId="20564" r:id="rId45" name="Check Box 84">
              <controlPr defaultSize="0" autoFill="0" autoLine="0" autoPict="0">
                <anchor moveWithCells="1">
                  <from>
                    <xdr:col>1</xdr:col>
                    <xdr:colOff>45720</xdr:colOff>
                    <xdr:row>141</xdr:row>
                    <xdr:rowOff>144780</xdr:rowOff>
                  </from>
                  <to>
                    <xdr:col>3</xdr:col>
                    <xdr:colOff>251460</xdr:colOff>
                    <xdr:row>143</xdr:row>
                    <xdr:rowOff>45720</xdr:rowOff>
                  </to>
                </anchor>
              </controlPr>
            </control>
          </mc:Choice>
        </mc:AlternateContent>
        <mc:AlternateContent xmlns:mc="http://schemas.openxmlformats.org/markup-compatibility/2006">
          <mc:Choice Requires="x14">
            <control shapeId="20566" r:id="rId46" name="Check Box 86">
              <controlPr defaultSize="0" autoFill="0" autoLine="0" autoPict="0">
                <anchor moveWithCells="1">
                  <from>
                    <xdr:col>12</xdr:col>
                    <xdr:colOff>7620</xdr:colOff>
                    <xdr:row>147</xdr:row>
                    <xdr:rowOff>327660</xdr:rowOff>
                  </from>
                  <to>
                    <xdr:col>13</xdr:col>
                    <xdr:colOff>419100</xdr:colOff>
                    <xdr:row>149</xdr:row>
                    <xdr:rowOff>30480</xdr:rowOff>
                  </to>
                </anchor>
              </controlPr>
            </control>
          </mc:Choice>
        </mc:AlternateContent>
        <mc:AlternateContent xmlns:mc="http://schemas.openxmlformats.org/markup-compatibility/2006">
          <mc:Choice Requires="x14">
            <control shapeId="20567" r:id="rId47" name="Check Box 87">
              <controlPr defaultSize="0" autoFill="0" autoLine="0" autoPict="0">
                <anchor moveWithCells="1">
                  <from>
                    <xdr:col>1</xdr:col>
                    <xdr:colOff>7620</xdr:colOff>
                    <xdr:row>158</xdr:row>
                    <xdr:rowOff>312420</xdr:rowOff>
                  </from>
                  <to>
                    <xdr:col>3</xdr:col>
                    <xdr:colOff>121920</xdr:colOff>
                    <xdr:row>160</xdr:row>
                    <xdr:rowOff>30480</xdr:rowOff>
                  </to>
                </anchor>
              </controlPr>
            </control>
          </mc:Choice>
        </mc:AlternateContent>
        <mc:AlternateContent xmlns:mc="http://schemas.openxmlformats.org/markup-compatibility/2006">
          <mc:Choice Requires="x14">
            <control shapeId="20568" r:id="rId48" name="Check Box 88">
              <controlPr defaultSize="0" autoFill="0" autoLine="0" autoPict="0">
                <anchor moveWithCells="1">
                  <from>
                    <xdr:col>1</xdr:col>
                    <xdr:colOff>30480</xdr:colOff>
                    <xdr:row>161</xdr:row>
                    <xdr:rowOff>144780</xdr:rowOff>
                  </from>
                  <to>
                    <xdr:col>3</xdr:col>
                    <xdr:colOff>144780</xdr:colOff>
                    <xdr:row>163</xdr:row>
                    <xdr:rowOff>45720</xdr:rowOff>
                  </to>
                </anchor>
              </controlPr>
            </control>
          </mc:Choice>
        </mc:AlternateContent>
        <mc:AlternateContent xmlns:mc="http://schemas.openxmlformats.org/markup-compatibility/2006">
          <mc:Choice Requires="x14">
            <control shapeId="20569" r:id="rId49" name="Check Box 89">
              <controlPr defaultSize="0" autoFill="0" autoLine="0" autoPict="0">
                <anchor moveWithCells="1">
                  <from>
                    <xdr:col>12</xdr:col>
                    <xdr:colOff>7620</xdr:colOff>
                    <xdr:row>158</xdr:row>
                    <xdr:rowOff>327660</xdr:rowOff>
                  </from>
                  <to>
                    <xdr:col>13</xdr:col>
                    <xdr:colOff>419100</xdr:colOff>
                    <xdr:row>160</xdr:row>
                    <xdr:rowOff>30480</xdr:rowOff>
                  </to>
                </anchor>
              </controlPr>
            </control>
          </mc:Choice>
        </mc:AlternateContent>
        <mc:AlternateContent xmlns:mc="http://schemas.openxmlformats.org/markup-compatibility/2006">
          <mc:Choice Requires="x14">
            <control shapeId="20570" r:id="rId50" name="Check Box 90">
              <controlPr defaultSize="0" autoFill="0" autoLine="0" autoPict="0">
                <anchor moveWithCells="1">
                  <from>
                    <xdr:col>1</xdr:col>
                    <xdr:colOff>7620</xdr:colOff>
                    <xdr:row>166</xdr:row>
                    <xdr:rowOff>312420</xdr:rowOff>
                  </from>
                  <to>
                    <xdr:col>3</xdr:col>
                    <xdr:colOff>121920</xdr:colOff>
                    <xdr:row>168</xdr:row>
                    <xdr:rowOff>30480</xdr:rowOff>
                  </to>
                </anchor>
              </controlPr>
            </control>
          </mc:Choice>
        </mc:AlternateContent>
        <mc:AlternateContent xmlns:mc="http://schemas.openxmlformats.org/markup-compatibility/2006">
          <mc:Choice Requires="x14">
            <control shapeId="20571" r:id="rId51" name="Check Box 91">
              <controlPr defaultSize="0" autoFill="0" autoLine="0" autoPict="0">
                <anchor moveWithCells="1">
                  <from>
                    <xdr:col>1</xdr:col>
                    <xdr:colOff>30480</xdr:colOff>
                    <xdr:row>169</xdr:row>
                    <xdr:rowOff>144780</xdr:rowOff>
                  </from>
                  <to>
                    <xdr:col>3</xdr:col>
                    <xdr:colOff>144780</xdr:colOff>
                    <xdr:row>171</xdr:row>
                    <xdr:rowOff>45720</xdr:rowOff>
                  </to>
                </anchor>
              </controlPr>
            </control>
          </mc:Choice>
        </mc:AlternateContent>
        <mc:AlternateContent xmlns:mc="http://schemas.openxmlformats.org/markup-compatibility/2006">
          <mc:Choice Requires="x14">
            <control shapeId="20572" r:id="rId52" name="Check Box 92">
              <controlPr defaultSize="0" autoFill="0" autoLine="0" autoPict="0">
                <anchor moveWithCells="1">
                  <from>
                    <xdr:col>12</xdr:col>
                    <xdr:colOff>7620</xdr:colOff>
                    <xdr:row>166</xdr:row>
                    <xdr:rowOff>327660</xdr:rowOff>
                  </from>
                  <to>
                    <xdr:col>13</xdr:col>
                    <xdr:colOff>419100</xdr:colOff>
                    <xdr:row>168</xdr:row>
                    <xdr:rowOff>30480</xdr:rowOff>
                  </to>
                </anchor>
              </controlPr>
            </control>
          </mc:Choice>
        </mc:AlternateContent>
        <mc:AlternateContent xmlns:mc="http://schemas.openxmlformats.org/markup-compatibility/2006">
          <mc:Choice Requires="x14">
            <control shapeId="20573" r:id="rId53" name="Check Box 93">
              <controlPr defaultSize="0" autoFill="0" autoLine="0" autoPict="0">
                <anchor moveWithCells="1">
                  <from>
                    <xdr:col>12</xdr:col>
                    <xdr:colOff>22860</xdr:colOff>
                    <xdr:row>3</xdr:row>
                    <xdr:rowOff>144780</xdr:rowOff>
                  </from>
                  <to>
                    <xdr:col>13</xdr:col>
                    <xdr:colOff>449580</xdr:colOff>
                    <xdr:row>5</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6"/>
  <dimension ref="A2:M245"/>
  <sheetViews>
    <sheetView topLeftCell="A224" zoomScale="90" zoomScaleNormal="90" workbookViewId="0">
      <selection activeCell="C239" sqref="C239"/>
    </sheetView>
  </sheetViews>
  <sheetFormatPr defaultColWidth="11.44140625" defaultRowHeight="13.2"/>
  <cols>
    <col min="1" max="1" width="12.5546875" style="1" customWidth="1"/>
    <col min="2" max="2" width="25.6640625" style="1" customWidth="1"/>
    <col min="3" max="3" width="57.33203125" style="1" customWidth="1"/>
    <col min="4" max="12" width="9.5546875" style="1" customWidth="1"/>
    <col min="13" max="16384" width="11.44140625" style="1"/>
  </cols>
  <sheetData>
    <row r="2" spans="1:13" ht="21">
      <c r="A2" s="105" t="s">
        <v>279</v>
      </c>
      <c r="B2" s="114"/>
    </row>
    <row r="3" spans="1:13" ht="13.8" thickBot="1"/>
    <row r="4" spans="1:13" ht="16.8" thickTop="1" thickBot="1">
      <c r="A4" s="420"/>
      <c r="B4" s="420"/>
      <c r="C4" s="421"/>
      <c r="D4" s="422" t="s">
        <v>525</v>
      </c>
      <c r="E4" s="423"/>
      <c r="F4" s="424"/>
      <c r="G4" s="422" t="s">
        <v>529</v>
      </c>
      <c r="H4" s="423"/>
      <c r="I4" s="424"/>
      <c r="J4" s="425" t="s">
        <v>533</v>
      </c>
      <c r="K4" s="426"/>
      <c r="L4" s="427"/>
    </row>
    <row r="5" spans="1:13" ht="14.25" customHeight="1" thickTop="1">
      <c r="A5" s="115"/>
      <c r="B5" s="116"/>
      <c r="C5" s="116"/>
      <c r="D5" s="430" t="s">
        <v>526</v>
      </c>
      <c r="E5" s="432" t="s">
        <v>527</v>
      </c>
      <c r="F5" s="434" t="s">
        <v>528</v>
      </c>
      <c r="G5" s="430" t="s">
        <v>530</v>
      </c>
      <c r="H5" s="432" t="s">
        <v>531</v>
      </c>
      <c r="I5" s="439" t="s">
        <v>532</v>
      </c>
      <c r="J5" s="436" t="s">
        <v>61</v>
      </c>
      <c r="K5" s="438" t="s">
        <v>63</v>
      </c>
      <c r="L5" s="428" t="s">
        <v>64</v>
      </c>
    </row>
    <row r="6" spans="1:13" ht="15.6">
      <c r="A6" s="115"/>
      <c r="B6" s="116"/>
      <c r="C6" s="116"/>
      <c r="D6" s="431"/>
      <c r="E6" s="433"/>
      <c r="F6" s="435"/>
      <c r="G6" s="431"/>
      <c r="H6" s="433"/>
      <c r="I6" s="440"/>
      <c r="J6" s="437"/>
      <c r="K6" s="433"/>
      <c r="L6" s="429"/>
    </row>
    <row r="7" spans="1:13" ht="33" customHeight="1" thickBot="1">
      <c r="A7" s="115" t="s">
        <v>58</v>
      </c>
      <c r="B7" s="116"/>
      <c r="C7" s="116" t="s">
        <v>287</v>
      </c>
      <c r="D7" s="431"/>
      <c r="E7" s="433"/>
      <c r="F7" s="435"/>
      <c r="G7" s="431"/>
      <c r="H7" s="433"/>
      <c r="I7" s="440"/>
      <c r="J7" s="437"/>
      <c r="K7" s="433"/>
      <c r="L7" s="429"/>
    </row>
    <row r="8" spans="1:13" ht="13.8" thickBot="1">
      <c r="A8" s="117" t="s">
        <v>280</v>
      </c>
      <c r="B8" s="118"/>
      <c r="C8" s="119"/>
      <c r="D8" s="120"/>
      <c r="E8" s="121"/>
      <c r="F8" s="122"/>
      <c r="G8" s="121"/>
      <c r="H8" s="121"/>
      <c r="I8" s="121"/>
      <c r="J8" s="120"/>
      <c r="K8" s="123"/>
      <c r="L8" s="122"/>
    </row>
    <row r="9" spans="1:13">
      <c r="A9" s="124">
        <v>2001</v>
      </c>
      <c r="B9" s="125" t="s">
        <v>281</v>
      </c>
      <c r="C9" s="126" t="s">
        <v>288</v>
      </c>
      <c r="D9" s="127">
        <v>4.0999999999999996</v>
      </c>
      <c r="E9" s="128">
        <v>1000</v>
      </c>
      <c r="F9" s="129">
        <v>4.1000000000000003E-3</v>
      </c>
      <c r="G9" s="130">
        <v>0.69</v>
      </c>
      <c r="H9" s="128">
        <v>10</v>
      </c>
      <c r="I9" s="131">
        <v>6.9000000000000006E-2</v>
      </c>
      <c r="J9" s="127">
        <v>0.05</v>
      </c>
      <c r="K9" s="128" t="s">
        <v>534</v>
      </c>
      <c r="L9" s="129" t="s">
        <v>539</v>
      </c>
      <c r="M9" s="1" t="s">
        <v>537</v>
      </c>
    </row>
    <row r="10" spans="1:13">
      <c r="A10" s="132">
        <v>2002</v>
      </c>
      <c r="B10" s="133" t="s">
        <v>281</v>
      </c>
      <c r="C10" s="134" t="s">
        <v>289</v>
      </c>
      <c r="D10" s="135">
        <v>6.7</v>
      </c>
      <c r="E10" s="136">
        <v>5000</v>
      </c>
      <c r="F10" s="137">
        <v>1.34E-3</v>
      </c>
      <c r="G10" s="138">
        <v>0.5</v>
      </c>
      <c r="H10" s="136">
        <v>10</v>
      </c>
      <c r="I10" s="139">
        <v>0.05</v>
      </c>
      <c r="J10" s="135">
        <v>0.05</v>
      </c>
      <c r="K10" s="136" t="s">
        <v>534</v>
      </c>
      <c r="L10" s="137" t="s">
        <v>539</v>
      </c>
    </row>
    <row r="11" spans="1:13">
      <c r="A11" s="132">
        <v>2003</v>
      </c>
      <c r="B11" s="133" t="s">
        <v>281</v>
      </c>
      <c r="C11" s="134" t="s">
        <v>290</v>
      </c>
      <c r="D11" s="135">
        <v>40</v>
      </c>
      <c r="E11" s="136">
        <v>1000</v>
      </c>
      <c r="F11" s="137">
        <v>0.04</v>
      </c>
      <c r="G11" s="138">
        <v>1.35</v>
      </c>
      <c r="H11" s="136">
        <v>10</v>
      </c>
      <c r="I11" s="139">
        <v>0.13500000000000001</v>
      </c>
      <c r="J11" s="135">
        <v>0.05</v>
      </c>
      <c r="K11" s="136" t="s">
        <v>534</v>
      </c>
      <c r="L11" s="137" t="s">
        <v>540</v>
      </c>
    </row>
    <row r="12" spans="1:13">
      <c r="A12" s="132">
        <v>2004</v>
      </c>
      <c r="B12" s="133" t="s">
        <v>281</v>
      </c>
      <c r="C12" s="134" t="s">
        <v>291</v>
      </c>
      <c r="D12" s="135">
        <v>8.64</v>
      </c>
      <c r="E12" s="136">
        <v>1000</v>
      </c>
      <c r="F12" s="137">
        <v>8.6400000000000001E-3</v>
      </c>
      <c r="G12" s="138">
        <v>0.95</v>
      </c>
      <c r="H12" s="136">
        <v>10</v>
      </c>
      <c r="I12" s="139">
        <v>9.5000000000000001E-2</v>
      </c>
      <c r="J12" s="135">
        <v>0.05</v>
      </c>
      <c r="K12" s="136" t="s">
        <v>534</v>
      </c>
      <c r="L12" s="137" t="s">
        <v>537</v>
      </c>
    </row>
    <row r="13" spans="1:13">
      <c r="A13" s="132">
        <v>2005</v>
      </c>
      <c r="B13" s="133" t="s">
        <v>281</v>
      </c>
      <c r="C13" s="134" t="s">
        <v>292</v>
      </c>
      <c r="D13" s="135">
        <v>2.8</v>
      </c>
      <c r="E13" s="136">
        <v>1000</v>
      </c>
      <c r="F13" s="137">
        <v>2.8E-3</v>
      </c>
      <c r="G13" s="138">
        <v>0.39100000000000001</v>
      </c>
      <c r="H13" s="136">
        <v>10</v>
      </c>
      <c r="I13" s="139">
        <v>3.9100000000000003E-2</v>
      </c>
      <c r="J13" s="135">
        <v>0.05</v>
      </c>
      <c r="K13" s="136" t="s">
        <v>534</v>
      </c>
      <c r="L13" s="137" t="s">
        <v>540</v>
      </c>
    </row>
    <row r="14" spans="1:13">
      <c r="A14" s="132">
        <v>2006</v>
      </c>
      <c r="B14" s="133" t="s">
        <v>281</v>
      </c>
      <c r="C14" s="134" t="s">
        <v>293</v>
      </c>
      <c r="D14" s="135">
        <v>15</v>
      </c>
      <c r="E14" s="136">
        <v>1000</v>
      </c>
      <c r="F14" s="137">
        <v>1.4999999999999999E-2</v>
      </c>
      <c r="G14" s="138">
        <v>0.41899999999999998</v>
      </c>
      <c r="H14" s="136">
        <v>10</v>
      </c>
      <c r="I14" s="139">
        <v>4.19E-2</v>
      </c>
      <c r="J14" s="135">
        <v>0.05</v>
      </c>
      <c r="K14" s="136" t="s">
        <v>534</v>
      </c>
      <c r="L14" s="137" t="s">
        <v>540</v>
      </c>
    </row>
    <row r="15" spans="1:13">
      <c r="A15" s="132">
        <v>2007</v>
      </c>
      <c r="B15" s="133" t="s">
        <v>281</v>
      </c>
      <c r="C15" s="134" t="s">
        <v>294</v>
      </c>
      <c r="D15" s="135">
        <v>27</v>
      </c>
      <c r="E15" s="136">
        <v>1000</v>
      </c>
      <c r="F15" s="137">
        <v>2.7E-2</v>
      </c>
      <c r="G15" s="138">
        <v>0.2</v>
      </c>
      <c r="H15" s="136">
        <v>10</v>
      </c>
      <c r="I15" s="139">
        <v>0.02</v>
      </c>
      <c r="J15" s="135">
        <v>0.05</v>
      </c>
      <c r="K15" s="136" t="s">
        <v>534</v>
      </c>
      <c r="L15" s="137" t="s">
        <v>540</v>
      </c>
    </row>
    <row r="16" spans="1:13">
      <c r="A16" s="132">
        <v>2008</v>
      </c>
      <c r="B16" s="133" t="s">
        <v>281</v>
      </c>
      <c r="C16" s="134" t="s">
        <v>295</v>
      </c>
      <c r="D16" s="135">
        <v>7.1</v>
      </c>
      <c r="E16" s="136">
        <v>1000</v>
      </c>
      <c r="F16" s="137">
        <v>7.1000000000000004E-3</v>
      </c>
      <c r="G16" s="138">
        <v>1.9</v>
      </c>
      <c r="H16" s="136">
        <v>50</v>
      </c>
      <c r="I16" s="139">
        <v>3.7999999999999999E-2</v>
      </c>
      <c r="J16" s="135">
        <v>0.05</v>
      </c>
      <c r="K16" s="136" t="s">
        <v>534</v>
      </c>
      <c r="L16" s="137" t="s">
        <v>537</v>
      </c>
    </row>
    <row r="17" spans="1:12">
      <c r="A17" s="132">
        <v>2009</v>
      </c>
      <c r="B17" s="133" t="s">
        <v>281</v>
      </c>
      <c r="C17" s="134" t="s">
        <v>296</v>
      </c>
      <c r="D17" s="135">
        <v>4.5999999999999996</v>
      </c>
      <c r="E17" s="136">
        <v>1000</v>
      </c>
      <c r="F17" s="137">
        <v>4.5999999999999999E-3</v>
      </c>
      <c r="G17" s="138">
        <v>0.14000000000000001</v>
      </c>
      <c r="H17" s="136">
        <v>10</v>
      </c>
      <c r="I17" s="139">
        <v>1.4E-2</v>
      </c>
      <c r="J17" s="135">
        <v>0.05</v>
      </c>
      <c r="K17" s="136" t="s">
        <v>534</v>
      </c>
      <c r="L17" s="137" t="s">
        <v>540</v>
      </c>
    </row>
    <row r="18" spans="1:12">
      <c r="A18" s="132">
        <v>2010</v>
      </c>
      <c r="B18" s="133" t="s">
        <v>281</v>
      </c>
      <c r="C18" s="134" t="s">
        <v>297</v>
      </c>
      <c r="D18" s="135">
        <v>0.56999999999999995</v>
      </c>
      <c r="E18" s="136">
        <v>10000</v>
      </c>
      <c r="F18" s="137">
        <v>5.7000000000000003E-5</v>
      </c>
      <c r="G18" s="140"/>
      <c r="H18" s="141"/>
      <c r="I18" s="139">
        <v>5.7000000000000003E-5</v>
      </c>
      <c r="J18" s="135">
        <v>0.05</v>
      </c>
      <c r="K18" s="136" t="s">
        <v>534</v>
      </c>
      <c r="L18" s="137" t="s">
        <v>540</v>
      </c>
    </row>
    <row r="19" spans="1:12">
      <c r="A19" s="132">
        <v>2011</v>
      </c>
      <c r="B19" s="133" t="s">
        <v>281</v>
      </c>
      <c r="C19" s="134" t="s">
        <v>298</v>
      </c>
      <c r="D19" s="135">
        <v>18</v>
      </c>
      <c r="E19" s="136">
        <v>1000</v>
      </c>
      <c r="F19" s="137">
        <v>1.7999999999999999E-2</v>
      </c>
      <c r="G19" s="140"/>
      <c r="H19" s="141"/>
      <c r="I19" s="139">
        <v>1.7999999999999999E-2</v>
      </c>
      <c r="J19" s="135">
        <v>0.05</v>
      </c>
      <c r="K19" s="136" t="s">
        <v>534</v>
      </c>
      <c r="L19" s="137" t="s">
        <v>537</v>
      </c>
    </row>
    <row r="20" spans="1:12">
      <c r="A20" s="132">
        <v>2012</v>
      </c>
      <c r="B20" s="133" t="s">
        <v>281</v>
      </c>
      <c r="C20" s="134" t="s">
        <v>299</v>
      </c>
      <c r="D20" s="135">
        <v>2</v>
      </c>
      <c r="E20" s="136">
        <v>1000</v>
      </c>
      <c r="F20" s="137">
        <v>2E-3</v>
      </c>
      <c r="G20" s="140"/>
      <c r="H20" s="141"/>
      <c r="I20" s="139">
        <v>2E-3</v>
      </c>
      <c r="J20" s="135">
        <v>0.05</v>
      </c>
      <c r="K20" s="136" t="s">
        <v>534</v>
      </c>
      <c r="L20" s="137" t="s">
        <v>537</v>
      </c>
    </row>
    <row r="21" spans="1:12">
      <c r="A21" s="132">
        <v>2013</v>
      </c>
      <c r="B21" s="133" t="s">
        <v>281</v>
      </c>
      <c r="C21" s="134" t="s">
        <v>300</v>
      </c>
      <c r="D21" s="135">
        <v>0.73</v>
      </c>
      <c r="E21" s="136">
        <v>1000</v>
      </c>
      <c r="F21" s="137">
        <v>7.2999999999999996E-4</v>
      </c>
      <c r="G21" s="140"/>
      <c r="H21" s="141"/>
      <c r="I21" s="139">
        <v>7.2999999999999996E-4</v>
      </c>
      <c r="J21" s="135">
        <v>0.05</v>
      </c>
      <c r="K21" s="136" t="s">
        <v>534</v>
      </c>
      <c r="L21" s="137" t="s">
        <v>537</v>
      </c>
    </row>
    <row r="22" spans="1:12">
      <c r="A22" s="132">
        <v>2014</v>
      </c>
      <c r="B22" s="133" t="s">
        <v>281</v>
      </c>
      <c r="C22" s="134" t="s">
        <v>301</v>
      </c>
      <c r="D22" s="135">
        <v>100</v>
      </c>
      <c r="E22" s="136">
        <v>1000</v>
      </c>
      <c r="F22" s="137">
        <v>0.1</v>
      </c>
      <c r="G22" s="140"/>
      <c r="H22" s="141"/>
      <c r="I22" s="139">
        <v>0.1</v>
      </c>
      <c r="J22" s="135">
        <v>0.05</v>
      </c>
      <c r="K22" s="136" t="s">
        <v>534</v>
      </c>
      <c r="L22" s="137" t="s">
        <v>537</v>
      </c>
    </row>
    <row r="23" spans="1:12">
      <c r="A23" s="132">
        <v>2015</v>
      </c>
      <c r="B23" s="133" t="s">
        <v>281</v>
      </c>
      <c r="C23" s="134" t="s">
        <v>302</v>
      </c>
      <c r="D23" s="135">
        <v>6.6</v>
      </c>
      <c r="E23" s="136">
        <v>1000</v>
      </c>
      <c r="F23" s="137">
        <v>6.6E-3</v>
      </c>
      <c r="G23" s="140"/>
      <c r="H23" s="141"/>
      <c r="I23" s="139">
        <v>6.6E-3</v>
      </c>
      <c r="J23" s="135">
        <v>0.05</v>
      </c>
      <c r="K23" s="136" t="s">
        <v>534</v>
      </c>
      <c r="L23" s="137" t="s">
        <v>537</v>
      </c>
    </row>
    <row r="24" spans="1:12">
      <c r="A24" s="132">
        <v>2016</v>
      </c>
      <c r="B24" s="133" t="s">
        <v>281</v>
      </c>
      <c r="C24" s="134" t="s">
        <v>303</v>
      </c>
      <c r="D24" s="135">
        <v>0.88</v>
      </c>
      <c r="E24" s="136">
        <v>1000</v>
      </c>
      <c r="F24" s="137">
        <v>8.8000000000000003E-4</v>
      </c>
      <c r="G24" s="140"/>
      <c r="H24" s="141"/>
      <c r="I24" s="139">
        <v>8.8000000000000003E-4</v>
      </c>
      <c r="J24" s="135">
        <v>0.05</v>
      </c>
      <c r="K24" s="136" t="s">
        <v>534</v>
      </c>
      <c r="L24" s="137" t="s">
        <v>537</v>
      </c>
    </row>
    <row r="25" spans="1:12">
      <c r="A25" s="132">
        <v>2017</v>
      </c>
      <c r="B25" s="133" t="s">
        <v>281</v>
      </c>
      <c r="C25" s="134" t="s">
        <v>304</v>
      </c>
      <c r="D25" s="135">
        <v>1.96</v>
      </c>
      <c r="E25" s="136">
        <v>1000</v>
      </c>
      <c r="F25" s="137">
        <v>1.9599999999999999E-3</v>
      </c>
      <c r="G25" s="140"/>
      <c r="H25" s="141"/>
      <c r="I25" s="139">
        <v>1.9599999999999999E-3</v>
      </c>
      <c r="J25" s="135">
        <v>0.5</v>
      </c>
      <c r="K25" s="136" t="s">
        <v>535</v>
      </c>
      <c r="L25" s="137" t="s">
        <v>537</v>
      </c>
    </row>
    <row r="26" spans="1:12">
      <c r="A26" s="132">
        <v>2018</v>
      </c>
      <c r="B26" s="133" t="s">
        <v>281</v>
      </c>
      <c r="C26" s="134" t="s">
        <v>305</v>
      </c>
      <c r="D26" s="135">
        <v>10</v>
      </c>
      <c r="E26" s="136">
        <v>1000</v>
      </c>
      <c r="F26" s="137">
        <v>0.01</v>
      </c>
      <c r="G26" s="140"/>
      <c r="H26" s="141"/>
      <c r="I26" s="139">
        <v>0.01</v>
      </c>
      <c r="J26" s="135">
        <v>0.05</v>
      </c>
      <c r="K26" s="136" t="s">
        <v>534</v>
      </c>
      <c r="L26" s="137" t="s">
        <v>537</v>
      </c>
    </row>
    <row r="27" spans="1:12">
      <c r="A27" s="132">
        <v>2019</v>
      </c>
      <c r="B27" s="133" t="s">
        <v>281</v>
      </c>
      <c r="C27" s="134" t="s">
        <v>306</v>
      </c>
      <c r="D27" s="135">
        <v>6.1</v>
      </c>
      <c r="E27" s="136">
        <v>1000</v>
      </c>
      <c r="F27" s="137">
        <v>6.1000000000000004E-3</v>
      </c>
      <c r="G27" s="140"/>
      <c r="H27" s="141"/>
      <c r="I27" s="139">
        <v>6.1000000000000004E-3</v>
      </c>
      <c r="J27" s="135">
        <v>0.05</v>
      </c>
      <c r="K27" s="136" t="s">
        <v>534</v>
      </c>
      <c r="L27" s="137" t="s">
        <v>537</v>
      </c>
    </row>
    <row r="28" spans="1:12" ht="26.4">
      <c r="A28" s="142">
        <v>2020</v>
      </c>
      <c r="B28" s="133" t="s">
        <v>281</v>
      </c>
      <c r="C28" s="143" t="s">
        <v>307</v>
      </c>
      <c r="D28" s="135">
        <v>10</v>
      </c>
      <c r="E28" s="136">
        <v>1000</v>
      </c>
      <c r="F28" s="137">
        <v>0.01</v>
      </c>
      <c r="G28" s="140"/>
      <c r="H28" s="141"/>
      <c r="I28" s="139">
        <v>0.01</v>
      </c>
      <c r="J28" s="135">
        <v>0.05</v>
      </c>
      <c r="K28" s="136" t="s">
        <v>534</v>
      </c>
      <c r="L28" s="137" t="s">
        <v>537</v>
      </c>
    </row>
    <row r="29" spans="1:12">
      <c r="A29" s="132">
        <v>2021</v>
      </c>
      <c r="B29" s="133" t="s">
        <v>281</v>
      </c>
      <c r="C29" s="134" t="s">
        <v>308</v>
      </c>
      <c r="D29" s="135">
        <v>9</v>
      </c>
      <c r="E29" s="136">
        <v>10000</v>
      </c>
      <c r="F29" s="137">
        <v>8.9999999999999998E-4</v>
      </c>
      <c r="G29" s="138">
        <v>0.25</v>
      </c>
      <c r="H29" s="136">
        <v>50</v>
      </c>
      <c r="I29" s="139">
        <v>5.0000000000000001E-3</v>
      </c>
      <c r="J29" s="135">
        <v>0.05</v>
      </c>
      <c r="K29" s="136" t="s">
        <v>534</v>
      </c>
      <c r="L29" s="137" t="s">
        <v>539</v>
      </c>
    </row>
    <row r="30" spans="1:12">
      <c r="A30" s="132">
        <v>2022</v>
      </c>
      <c r="B30" s="133" t="s">
        <v>281</v>
      </c>
      <c r="C30" s="134" t="s">
        <v>309</v>
      </c>
      <c r="D30" s="135">
        <v>0.80649999999999999</v>
      </c>
      <c r="E30" s="136">
        <v>1000</v>
      </c>
      <c r="F30" s="137">
        <v>8.0699999999999999E-4</v>
      </c>
      <c r="G30" s="138">
        <v>0.23</v>
      </c>
      <c r="H30" s="136">
        <v>50</v>
      </c>
      <c r="I30" s="139">
        <v>4.5999999999999999E-3</v>
      </c>
      <c r="J30" s="135">
        <v>0.05</v>
      </c>
      <c r="K30" s="136" t="s">
        <v>534</v>
      </c>
      <c r="L30" s="137" t="s">
        <v>539</v>
      </c>
    </row>
    <row r="31" spans="1:12">
      <c r="A31" s="132">
        <v>2023</v>
      </c>
      <c r="B31" s="133" t="s">
        <v>281</v>
      </c>
      <c r="C31" s="134" t="s">
        <v>310</v>
      </c>
      <c r="D31" s="135">
        <v>3.3</v>
      </c>
      <c r="E31" s="136">
        <v>10000</v>
      </c>
      <c r="F31" s="137">
        <v>3.3E-4</v>
      </c>
      <c r="G31" s="138">
        <v>1.2</v>
      </c>
      <c r="H31" s="136">
        <v>50</v>
      </c>
      <c r="I31" s="139">
        <v>2.4E-2</v>
      </c>
      <c r="J31" s="135">
        <v>0.05</v>
      </c>
      <c r="K31" s="136" t="s">
        <v>534</v>
      </c>
      <c r="L31" s="137" t="s">
        <v>539</v>
      </c>
    </row>
    <row r="32" spans="1:12">
      <c r="A32" s="132">
        <v>2024</v>
      </c>
      <c r="B32" s="133" t="s">
        <v>281</v>
      </c>
      <c r="C32" s="134" t="s">
        <v>311</v>
      </c>
      <c r="D32" s="135">
        <v>0.5</v>
      </c>
      <c r="E32" s="136">
        <v>5000</v>
      </c>
      <c r="F32" s="137">
        <v>1E-4</v>
      </c>
      <c r="G32" s="140"/>
      <c r="H32" s="141"/>
      <c r="I32" s="139">
        <v>1E-4</v>
      </c>
      <c r="J32" s="135">
        <v>0.05</v>
      </c>
      <c r="K32" s="136" t="s">
        <v>534</v>
      </c>
      <c r="L32" s="137" t="s">
        <v>539</v>
      </c>
    </row>
    <row r="33" spans="1:12">
      <c r="A33" s="132">
        <v>2025</v>
      </c>
      <c r="B33" s="133" t="s">
        <v>281</v>
      </c>
      <c r="C33" s="134" t="s">
        <v>312</v>
      </c>
      <c r="D33" s="135">
        <v>22</v>
      </c>
      <c r="E33" s="136">
        <v>1000</v>
      </c>
      <c r="F33" s="137">
        <v>2.1999999999999999E-2</v>
      </c>
      <c r="G33" s="138">
        <v>10</v>
      </c>
      <c r="H33" s="136">
        <v>100</v>
      </c>
      <c r="I33" s="139">
        <v>0.1</v>
      </c>
      <c r="J33" s="135">
        <v>0.05</v>
      </c>
      <c r="K33" s="136" t="s">
        <v>534</v>
      </c>
      <c r="L33" s="137" t="s">
        <v>540</v>
      </c>
    </row>
    <row r="34" spans="1:12">
      <c r="A34" s="132">
        <v>2026</v>
      </c>
      <c r="B34" s="133" t="s">
        <v>281</v>
      </c>
      <c r="C34" s="134" t="s">
        <v>313</v>
      </c>
      <c r="D34" s="135">
        <v>56</v>
      </c>
      <c r="E34" s="136">
        <v>10000</v>
      </c>
      <c r="F34" s="137">
        <v>5.5999999999999999E-3</v>
      </c>
      <c r="G34" s="140"/>
      <c r="H34" s="141"/>
      <c r="I34" s="139">
        <v>5.5999999999999999E-3</v>
      </c>
      <c r="J34" s="135">
        <v>0.05</v>
      </c>
      <c r="K34" s="136" t="s">
        <v>534</v>
      </c>
      <c r="L34" s="137" t="s">
        <v>540</v>
      </c>
    </row>
    <row r="35" spans="1:12">
      <c r="A35" s="132">
        <v>2027</v>
      </c>
      <c r="B35" s="133" t="s">
        <v>281</v>
      </c>
      <c r="C35" s="134" t="s">
        <v>314</v>
      </c>
      <c r="D35" s="135">
        <v>100</v>
      </c>
      <c r="E35" s="136">
        <v>10000</v>
      </c>
      <c r="F35" s="137">
        <v>0.01</v>
      </c>
      <c r="G35" s="140"/>
      <c r="H35" s="141"/>
      <c r="I35" s="139">
        <v>0.01</v>
      </c>
      <c r="J35" s="135">
        <v>0.05</v>
      </c>
      <c r="K35" s="136" t="s">
        <v>534</v>
      </c>
      <c r="L35" s="137" t="s">
        <v>537</v>
      </c>
    </row>
    <row r="36" spans="1:12">
      <c r="A36" s="132">
        <v>2028</v>
      </c>
      <c r="B36" s="133" t="s">
        <v>281</v>
      </c>
      <c r="C36" s="134" t="s">
        <v>315</v>
      </c>
      <c r="D36" s="135">
        <v>8.8000000000000007</v>
      </c>
      <c r="E36" s="136">
        <v>1000</v>
      </c>
      <c r="F36" s="137">
        <v>8.8000000000000005E-3</v>
      </c>
      <c r="G36" s="138">
        <v>5</v>
      </c>
      <c r="H36" s="136">
        <v>100</v>
      </c>
      <c r="I36" s="139">
        <v>0.05</v>
      </c>
      <c r="J36" s="135">
        <v>0.05</v>
      </c>
      <c r="K36" s="136" t="s">
        <v>534</v>
      </c>
      <c r="L36" s="137" t="s">
        <v>537</v>
      </c>
    </row>
    <row r="37" spans="1:12">
      <c r="A37" s="132">
        <v>2029</v>
      </c>
      <c r="B37" s="133" t="s">
        <v>281</v>
      </c>
      <c r="C37" s="134" t="s">
        <v>316</v>
      </c>
      <c r="D37" s="135">
        <v>38</v>
      </c>
      <c r="E37" s="136">
        <v>1000</v>
      </c>
      <c r="F37" s="137">
        <v>3.7999999999999999E-2</v>
      </c>
      <c r="G37" s="140"/>
      <c r="H37" s="141"/>
      <c r="I37" s="139">
        <v>3.7999999999999999E-2</v>
      </c>
      <c r="J37" s="135">
        <v>0.05</v>
      </c>
      <c r="K37" s="136" t="s">
        <v>534</v>
      </c>
      <c r="L37" s="137" t="s">
        <v>539</v>
      </c>
    </row>
    <row r="38" spans="1:12">
      <c r="A38" s="132">
        <v>2030</v>
      </c>
      <c r="B38" s="133" t="s">
        <v>281</v>
      </c>
      <c r="C38" s="134" t="s">
        <v>317</v>
      </c>
      <c r="D38" s="135">
        <v>0.1</v>
      </c>
      <c r="E38" s="136">
        <v>1000</v>
      </c>
      <c r="F38" s="137">
        <v>1E-4</v>
      </c>
      <c r="G38" s="138">
        <v>0.32</v>
      </c>
      <c r="H38" s="136">
        <v>100</v>
      </c>
      <c r="I38" s="139">
        <v>3.2000000000000002E-3</v>
      </c>
      <c r="J38" s="135">
        <v>0.5</v>
      </c>
      <c r="K38" s="136" t="s">
        <v>535</v>
      </c>
      <c r="L38" s="137" t="s">
        <v>537</v>
      </c>
    </row>
    <row r="39" spans="1:12">
      <c r="A39" s="132">
        <v>2031</v>
      </c>
      <c r="B39" s="133" t="s">
        <v>281</v>
      </c>
      <c r="C39" s="134" t="s">
        <v>318</v>
      </c>
      <c r="D39" s="135">
        <v>238</v>
      </c>
      <c r="E39" s="136">
        <v>1000</v>
      </c>
      <c r="F39" s="137">
        <v>0.23799999999999999</v>
      </c>
      <c r="G39" s="140"/>
      <c r="H39" s="141"/>
      <c r="I39" s="139">
        <v>0.23799999999999999</v>
      </c>
      <c r="J39" s="135">
        <v>0.05</v>
      </c>
      <c r="K39" s="136" t="s">
        <v>534</v>
      </c>
      <c r="L39" s="137" t="s">
        <v>540</v>
      </c>
    </row>
    <row r="40" spans="1:12" ht="13.8" thickBot="1">
      <c r="A40" s="144">
        <v>2032</v>
      </c>
      <c r="B40" s="145" t="s">
        <v>281</v>
      </c>
      <c r="C40" s="146" t="s">
        <v>319</v>
      </c>
      <c r="D40" s="147">
        <v>25.1</v>
      </c>
      <c r="E40" s="148">
        <v>1000</v>
      </c>
      <c r="F40" s="149">
        <v>2.5100000000000001E-2</v>
      </c>
      <c r="G40" s="150">
        <v>12.5</v>
      </c>
      <c r="H40" s="148">
        <v>50</v>
      </c>
      <c r="I40" s="151">
        <v>0.25</v>
      </c>
      <c r="J40" s="147">
        <v>0.05</v>
      </c>
      <c r="K40" s="148" t="s">
        <v>534</v>
      </c>
      <c r="L40" s="149" t="s">
        <v>540</v>
      </c>
    </row>
    <row r="41" spans="1:12" ht="26.4">
      <c r="A41" s="124">
        <v>2107</v>
      </c>
      <c r="B41" s="125" t="s">
        <v>282</v>
      </c>
      <c r="C41" s="126" t="s">
        <v>320</v>
      </c>
      <c r="D41" s="127">
        <v>37.299999999999997</v>
      </c>
      <c r="E41" s="128">
        <v>5000</v>
      </c>
      <c r="F41" s="129">
        <v>7.4599999999999996E-3</v>
      </c>
      <c r="G41" s="130">
        <v>1.5</v>
      </c>
      <c r="H41" s="128">
        <v>10</v>
      </c>
      <c r="I41" s="131">
        <v>0.15</v>
      </c>
      <c r="J41" s="127">
        <v>0.05</v>
      </c>
      <c r="K41" s="128" t="s">
        <v>534</v>
      </c>
      <c r="L41" s="129" t="s">
        <v>537</v>
      </c>
    </row>
    <row r="42" spans="1:12" ht="26.4">
      <c r="A42" s="132">
        <v>2108</v>
      </c>
      <c r="B42" s="133" t="s">
        <v>282</v>
      </c>
      <c r="C42" s="134" t="s">
        <v>321</v>
      </c>
      <c r="D42" s="135">
        <v>5</v>
      </c>
      <c r="E42" s="136">
        <v>1000</v>
      </c>
      <c r="F42" s="137">
        <v>5.0000000000000001E-3</v>
      </c>
      <c r="G42" s="138">
        <v>1.5</v>
      </c>
      <c r="H42" s="136">
        <v>10</v>
      </c>
      <c r="I42" s="139">
        <v>0.15</v>
      </c>
      <c r="J42" s="135">
        <v>0.05</v>
      </c>
      <c r="K42" s="136" t="s">
        <v>534</v>
      </c>
      <c r="L42" s="137" t="s">
        <v>540</v>
      </c>
    </row>
    <row r="43" spans="1:12" ht="26.4">
      <c r="A43" s="132">
        <v>2112</v>
      </c>
      <c r="B43" s="133" t="s">
        <v>282</v>
      </c>
      <c r="C43" s="134" t="s">
        <v>322</v>
      </c>
      <c r="D43" s="135">
        <v>0.23</v>
      </c>
      <c r="E43" s="136">
        <v>1000</v>
      </c>
      <c r="F43" s="137">
        <v>2.3000000000000001E-4</v>
      </c>
      <c r="G43" s="138">
        <v>0.18</v>
      </c>
      <c r="H43" s="136">
        <v>100</v>
      </c>
      <c r="I43" s="139">
        <v>1.8E-3</v>
      </c>
      <c r="J43" s="135">
        <v>0.05</v>
      </c>
      <c r="K43" s="136" t="s">
        <v>534</v>
      </c>
      <c r="L43" s="137" t="s">
        <v>537</v>
      </c>
    </row>
    <row r="44" spans="1:12" ht="26.4">
      <c r="A44" s="132">
        <v>2113</v>
      </c>
      <c r="B44" s="133" t="s">
        <v>282</v>
      </c>
      <c r="C44" s="134" t="s">
        <v>323</v>
      </c>
      <c r="D44" s="135">
        <v>1</v>
      </c>
      <c r="E44" s="136">
        <v>1000</v>
      </c>
      <c r="F44" s="137">
        <v>1E-3</v>
      </c>
      <c r="G44" s="138">
        <v>0.74</v>
      </c>
      <c r="H44" s="136">
        <v>10</v>
      </c>
      <c r="I44" s="139">
        <v>7.3999999999999996E-2</v>
      </c>
      <c r="J44" s="135">
        <v>0.05</v>
      </c>
      <c r="K44" s="136" t="s">
        <v>534</v>
      </c>
      <c r="L44" s="137" t="s">
        <v>537</v>
      </c>
    </row>
    <row r="45" spans="1:12" ht="26.4">
      <c r="A45" s="132">
        <v>2114</v>
      </c>
      <c r="B45" s="133" t="s">
        <v>282</v>
      </c>
      <c r="C45" s="134" t="s">
        <v>324</v>
      </c>
      <c r="D45" s="135">
        <v>1</v>
      </c>
      <c r="E45" s="136">
        <v>1000</v>
      </c>
      <c r="F45" s="137">
        <v>1E-3</v>
      </c>
      <c r="G45" s="138">
        <v>0.6</v>
      </c>
      <c r="H45" s="136">
        <v>10</v>
      </c>
      <c r="I45" s="139">
        <v>0.06</v>
      </c>
      <c r="J45" s="135">
        <v>0.05</v>
      </c>
      <c r="K45" s="136" t="s">
        <v>534</v>
      </c>
      <c r="L45" s="137" t="s">
        <v>537</v>
      </c>
    </row>
    <row r="46" spans="1:12" ht="26.4">
      <c r="A46" s="132">
        <v>2115</v>
      </c>
      <c r="B46" s="133" t="s">
        <v>282</v>
      </c>
      <c r="C46" s="134" t="s">
        <v>325</v>
      </c>
      <c r="D46" s="135">
        <v>1</v>
      </c>
      <c r="E46" s="136">
        <v>1000</v>
      </c>
      <c r="F46" s="137">
        <v>1E-3</v>
      </c>
      <c r="G46" s="138">
        <v>2.5</v>
      </c>
      <c r="H46" s="136">
        <v>10</v>
      </c>
      <c r="I46" s="139">
        <v>0.25</v>
      </c>
      <c r="J46" s="135">
        <v>0.05</v>
      </c>
      <c r="K46" s="136" t="s">
        <v>534</v>
      </c>
      <c r="L46" s="137" t="s">
        <v>537</v>
      </c>
    </row>
    <row r="47" spans="1:12" ht="26.4">
      <c r="A47" s="132">
        <v>2130</v>
      </c>
      <c r="B47" s="133" t="s">
        <v>282</v>
      </c>
      <c r="C47" s="134" t="s">
        <v>326</v>
      </c>
      <c r="D47" s="135">
        <v>0.78</v>
      </c>
      <c r="E47" s="136">
        <v>1000</v>
      </c>
      <c r="F47" s="137">
        <v>7.7999999999999999E-4</v>
      </c>
      <c r="G47" s="138">
        <v>0.36</v>
      </c>
      <c r="H47" s="136">
        <v>100</v>
      </c>
      <c r="I47" s="139">
        <v>3.5999999999999999E-3</v>
      </c>
      <c r="J47" s="135">
        <v>0.05</v>
      </c>
      <c r="K47" s="136" t="s">
        <v>534</v>
      </c>
      <c r="L47" s="137" t="s">
        <v>537</v>
      </c>
    </row>
    <row r="48" spans="1:12" ht="26.4">
      <c r="A48" s="132">
        <v>2131</v>
      </c>
      <c r="B48" s="133" t="s">
        <v>282</v>
      </c>
      <c r="C48" s="134" t="s">
        <v>327</v>
      </c>
      <c r="D48" s="135">
        <v>3.2</v>
      </c>
      <c r="E48" s="136">
        <v>5000</v>
      </c>
      <c r="F48" s="137">
        <v>6.4000000000000005E-4</v>
      </c>
      <c r="G48" s="138">
        <v>1</v>
      </c>
      <c r="H48" s="136">
        <v>100</v>
      </c>
      <c r="I48" s="139">
        <v>0.01</v>
      </c>
      <c r="J48" s="135">
        <v>0.05</v>
      </c>
      <c r="K48" s="136" t="s">
        <v>534</v>
      </c>
      <c r="L48" s="137" t="s">
        <v>537</v>
      </c>
    </row>
    <row r="49" spans="1:12" ht="26.4">
      <c r="A49" s="132">
        <v>2132</v>
      </c>
      <c r="B49" s="133" t="s">
        <v>282</v>
      </c>
      <c r="C49" s="134" t="s">
        <v>328</v>
      </c>
      <c r="D49" s="135">
        <v>10</v>
      </c>
      <c r="E49" s="136">
        <v>1000</v>
      </c>
      <c r="F49" s="137">
        <v>0.01</v>
      </c>
      <c r="G49" s="140"/>
      <c r="H49" s="141"/>
      <c r="I49" s="139">
        <v>0.01</v>
      </c>
      <c r="J49" s="135">
        <v>0.05</v>
      </c>
      <c r="K49" s="136" t="s">
        <v>534</v>
      </c>
      <c r="L49" s="137" t="s">
        <v>540</v>
      </c>
    </row>
    <row r="50" spans="1:12" ht="26.4">
      <c r="A50" s="132">
        <v>2133</v>
      </c>
      <c r="B50" s="133" t="s">
        <v>282</v>
      </c>
      <c r="C50" s="134" t="s">
        <v>329</v>
      </c>
      <c r="D50" s="135">
        <v>10</v>
      </c>
      <c r="E50" s="136">
        <v>1000</v>
      </c>
      <c r="F50" s="137">
        <v>0.01</v>
      </c>
      <c r="G50" s="138">
        <v>6.25</v>
      </c>
      <c r="H50" s="136">
        <v>50</v>
      </c>
      <c r="I50" s="139">
        <v>0.125</v>
      </c>
      <c r="J50" s="135">
        <v>0.05</v>
      </c>
      <c r="K50" s="136" t="s">
        <v>534</v>
      </c>
      <c r="L50" s="137" t="s">
        <v>540</v>
      </c>
    </row>
    <row r="51" spans="1:12" ht="26.4">
      <c r="A51" s="132">
        <v>2134</v>
      </c>
      <c r="B51" s="133" t="s">
        <v>282</v>
      </c>
      <c r="C51" s="134" t="s">
        <v>330</v>
      </c>
      <c r="D51" s="135">
        <v>28</v>
      </c>
      <c r="E51" s="136">
        <v>1000</v>
      </c>
      <c r="F51" s="137">
        <v>2.8000000000000001E-2</v>
      </c>
      <c r="G51" s="138">
        <v>1.75</v>
      </c>
      <c r="H51" s="136">
        <v>10</v>
      </c>
      <c r="I51" s="139">
        <v>0.17499999999999999</v>
      </c>
      <c r="J51" s="135">
        <v>0.05</v>
      </c>
      <c r="K51" s="136" t="s">
        <v>534</v>
      </c>
      <c r="L51" s="137" t="s">
        <v>540</v>
      </c>
    </row>
    <row r="52" spans="1:12" ht="26.4">
      <c r="A52" s="132">
        <v>2135</v>
      </c>
      <c r="B52" s="133" t="s">
        <v>282</v>
      </c>
      <c r="C52" s="134" t="s">
        <v>331</v>
      </c>
      <c r="D52" s="135">
        <v>480</v>
      </c>
      <c r="E52" s="136">
        <v>1000</v>
      </c>
      <c r="F52" s="137">
        <v>0.48</v>
      </c>
      <c r="G52" s="138">
        <v>100</v>
      </c>
      <c r="H52" s="136">
        <v>100</v>
      </c>
      <c r="I52" s="139">
        <v>1</v>
      </c>
      <c r="J52" s="135">
        <v>0.05</v>
      </c>
      <c r="K52" s="136" t="s">
        <v>534</v>
      </c>
      <c r="L52" s="137" t="s">
        <v>539</v>
      </c>
    </row>
    <row r="53" spans="1:12" ht="26.4">
      <c r="A53" s="132">
        <v>2136</v>
      </c>
      <c r="B53" s="133" t="s">
        <v>282</v>
      </c>
      <c r="C53" s="134" t="s">
        <v>332</v>
      </c>
      <c r="D53" s="135">
        <v>8.6999999999999993</v>
      </c>
      <c r="E53" s="136">
        <v>1000</v>
      </c>
      <c r="F53" s="137">
        <v>8.6999999999999994E-3</v>
      </c>
      <c r="G53" s="138">
        <v>1.75</v>
      </c>
      <c r="H53" s="136">
        <v>10</v>
      </c>
      <c r="I53" s="139">
        <v>0.17499999999999999</v>
      </c>
      <c r="J53" s="135">
        <v>0.05</v>
      </c>
      <c r="K53" s="136" t="s">
        <v>534</v>
      </c>
      <c r="L53" s="137" t="s">
        <v>540</v>
      </c>
    </row>
    <row r="54" spans="1:12" ht="26.4">
      <c r="A54" s="132">
        <v>2137</v>
      </c>
      <c r="B54" s="133" t="s">
        <v>282</v>
      </c>
      <c r="C54" s="134" t="s">
        <v>333</v>
      </c>
      <c r="D54" s="152"/>
      <c r="E54" s="141"/>
      <c r="F54" s="137">
        <v>0.17499999999999999</v>
      </c>
      <c r="G54" s="138">
        <v>1.75</v>
      </c>
      <c r="H54" s="136">
        <v>10</v>
      </c>
      <c r="I54" s="139">
        <v>0.17499999999999999</v>
      </c>
      <c r="J54" s="135">
        <v>0.05</v>
      </c>
      <c r="K54" s="136" t="s">
        <v>534</v>
      </c>
      <c r="L54" s="137" t="s">
        <v>537</v>
      </c>
    </row>
    <row r="55" spans="1:12" ht="26.4">
      <c r="A55" s="132">
        <v>2138</v>
      </c>
      <c r="B55" s="133" t="s">
        <v>282</v>
      </c>
      <c r="C55" s="134" t="s">
        <v>334</v>
      </c>
      <c r="D55" s="135">
        <v>9.5</v>
      </c>
      <c r="E55" s="136">
        <v>1000</v>
      </c>
      <c r="F55" s="137">
        <v>9.4999999999999998E-3</v>
      </c>
      <c r="G55" s="138">
        <v>7.0000000000000007E-2</v>
      </c>
      <c r="H55" s="136">
        <v>10</v>
      </c>
      <c r="I55" s="139">
        <v>7.0000000000000001E-3</v>
      </c>
      <c r="J55" s="135">
        <v>0.05</v>
      </c>
      <c r="K55" s="136" t="s">
        <v>534</v>
      </c>
      <c r="L55" s="137" t="s">
        <v>540</v>
      </c>
    </row>
    <row r="56" spans="1:12" ht="26.4">
      <c r="A56" s="132">
        <v>2139</v>
      </c>
      <c r="B56" s="133" t="s">
        <v>282</v>
      </c>
      <c r="C56" s="134" t="s">
        <v>335</v>
      </c>
      <c r="D56" s="135">
        <v>17</v>
      </c>
      <c r="E56" s="136">
        <v>10000</v>
      </c>
      <c r="F56" s="137">
        <v>1.6999999999999999E-3</v>
      </c>
      <c r="G56" s="140"/>
      <c r="H56" s="141"/>
      <c r="I56" s="139">
        <v>1.6999999999999999E-3</v>
      </c>
      <c r="J56" s="135">
        <v>0.05</v>
      </c>
      <c r="K56" s="136" t="s">
        <v>534</v>
      </c>
      <c r="L56" s="137" t="s">
        <v>540</v>
      </c>
    </row>
    <row r="57" spans="1:12" ht="26.4">
      <c r="A57" s="132">
        <v>2140</v>
      </c>
      <c r="B57" s="133" t="s">
        <v>282</v>
      </c>
      <c r="C57" s="134" t="s">
        <v>336</v>
      </c>
      <c r="D57" s="135">
        <v>2</v>
      </c>
      <c r="E57" s="136">
        <v>1000</v>
      </c>
      <c r="F57" s="137">
        <v>2E-3</v>
      </c>
      <c r="G57" s="138">
        <v>7.0000000000000007E-2</v>
      </c>
      <c r="H57" s="136">
        <v>10</v>
      </c>
      <c r="I57" s="139">
        <v>7.0000000000000001E-3</v>
      </c>
      <c r="J57" s="135">
        <v>0.05</v>
      </c>
      <c r="K57" s="136" t="s">
        <v>534</v>
      </c>
      <c r="L57" s="137" t="s">
        <v>540</v>
      </c>
    </row>
    <row r="58" spans="1:12" ht="26.4">
      <c r="A58" s="132">
        <v>2141</v>
      </c>
      <c r="B58" s="133" t="s">
        <v>282</v>
      </c>
      <c r="C58" s="134" t="s">
        <v>337</v>
      </c>
      <c r="D58" s="135">
        <v>7</v>
      </c>
      <c r="E58" s="136">
        <v>1000</v>
      </c>
      <c r="F58" s="137">
        <v>7.0000000000000001E-3</v>
      </c>
      <c r="G58" s="140"/>
      <c r="H58" s="141"/>
      <c r="I58" s="139">
        <v>7.0000000000000001E-3</v>
      </c>
      <c r="J58" s="135">
        <v>0.05</v>
      </c>
      <c r="K58" s="136" t="s">
        <v>534</v>
      </c>
      <c r="L58" s="137" t="s">
        <v>540</v>
      </c>
    </row>
    <row r="59" spans="1:12" ht="26.4">
      <c r="A59" s="132">
        <v>2142</v>
      </c>
      <c r="B59" s="133" t="s">
        <v>282</v>
      </c>
      <c r="C59" s="134" t="s">
        <v>338</v>
      </c>
      <c r="D59" s="135">
        <v>6.4</v>
      </c>
      <c r="E59" s="136">
        <v>5000</v>
      </c>
      <c r="F59" s="137">
        <v>1.2800000000000001E-3</v>
      </c>
      <c r="G59" s="140"/>
      <c r="H59" s="141"/>
      <c r="I59" s="139">
        <v>1.2800000000000001E-3</v>
      </c>
      <c r="J59" s="135">
        <v>0.05</v>
      </c>
      <c r="K59" s="136" t="s">
        <v>534</v>
      </c>
      <c r="L59" s="137" t="s">
        <v>537</v>
      </c>
    </row>
    <row r="60" spans="1:12" ht="26.4">
      <c r="A60" s="132">
        <v>2143</v>
      </c>
      <c r="B60" s="133" t="s">
        <v>282</v>
      </c>
      <c r="C60" s="134" t="s">
        <v>339</v>
      </c>
      <c r="D60" s="135">
        <v>0.1</v>
      </c>
      <c r="E60" s="136">
        <v>5000</v>
      </c>
      <c r="F60" s="137">
        <v>2.0000000000000002E-5</v>
      </c>
      <c r="G60" s="138">
        <v>1.0699999999999999E-2</v>
      </c>
      <c r="H60" s="136">
        <v>50</v>
      </c>
      <c r="I60" s="139">
        <v>2.14E-4</v>
      </c>
      <c r="J60" s="135">
        <v>0.05</v>
      </c>
      <c r="K60" s="136" t="s">
        <v>534</v>
      </c>
      <c r="L60" s="137" t="s">
        <v>537</v>
      </c>
    </row>
    <row r="61" spans="1:12" ht="26.4">
      <c r="A61" s="132">
        <v>2144</v>
      </c>
      <c r="B61" s="133" t="s">
        <v>282</v>
      </c>
      <c r="C61" s="134" t="s">
        <v>340</v>
      </c>
      <c r="D61" s="135">
        <v>0.42</v>
      </c>
      <c r="E61" s="136">
        <v>5000</v>
      </c>
      <c r="F61" s="137">
        <v>8.3999999999999995E-5</v>
      </c>
      <c r="G61" s="138">
        <v>1.0699999999999999E-2</v>
      </c>
      <c r="H61" s="136">
        <v>50</v>
      </c>
      <c r="I61" s="139">
        <v>2.14E-4</v>
      </c>
      <c r="J61" s="135">
        <v>0.05</v>
      </c>
      <c r="K61" s="136" t="s">
        <v>534</v>
      </c>
      <c r="L61" s="137" t="s">
        <v>537</v>
      </c>
    </row>
    <row r="62" spans="1:12" ht="26.4">
      <c r="A62" s="132">
        <v>2146</v>
      </c>
      <c r="B62" s="133" t="s">
        <v>282</v>
      </c>
      <c r="C62" s="134" t="s">
        <v>341</v>
      </c>
      <c r="D62" s="135">
        <v>3.6</v>
      </c>
      <c r="E62" s="136">
        <v>1000</v>
      </c>
      <c r="F62" s="137">
        <v>3.5999999999999999E-3</v>
      </c>
      <c r="G62" s="140"/>
      <c r="H62" s="141"/>
      <c r="I62" s="139">
        <v>3.5999999999999999E-3</v>
      </c>
      <c r="J62" s="135">
        <v>0.5</v>
      </c>
      <c r="K62" s="136" t="s">
        <v>535</v>
      </c>
      <c r="L62" s="137" t="s">
        <v>537</v>
      </c>
    </row>
    <row r="63" spans="1:12" ht="26.4">
      <c r="A63" s="132">
        <v>2147</v>
      </c>
      <c r="B63" s="133" t="s">
        <v>282</v>
      </c>
      <c r="C63" s="134" t="s">
        <v>342</v>
      </c>
      <c r="D63" s="135">
        <v>0.35249999999999998</v>
      </c>
      <c r="E63" s="136">
        <v>10000</v>
      </c>
      <c r="F63" s="153">
        <v>3.5299999999999997E-5</v>
      </c>
      <c r="G63" s="138">
        <v>4.4000000000000003E-3</v>
      </c>
      <c r="H63" s="136">
        <v>50</v>
      </c>
      <c r="I63" s="139">
        <v>8.7999999999999998E-5</v>
      </c>
      <c r="J63" s="135">
        <v>0.05</v>
      </c>
      <c r="K63" s="136" t="s">
        <v>534</v>
      </c>
      <c r="L63" s="137" t="s">
        <v>537</v>
      </c>
    </row>
    <row r="64" spans="1:12" ht="26.4">
      <c r="A64" s="132">
        <v>2148</v>
      </c>
      <c r="B64" s="133" t="s">
        <v>282</v>
      </c>
      <c r="C64" s="134" t="s">
        <v>343</v>
      </c>
      <c r="D64" s="135">
        <v>0.01</v>
      </c>
      <c r="E64" s="136">
        <v>1000</v>
      </c>
      <c r="F64" s="137">
        <v>1.0000000000000001E-5</v>
      </c>
      <c r="G64" s="140"/>
      <c r="H64" s="141"/>
      <c r="I64" s="139">
        <v>1.0000000000000001E-5</v>
      </c>
      <c r="J64" s="135">
        <v>0.05</v>
      </c>
      <c r="K64" s="136" t="s">
        <v>534</v>
      </c>
      <c r="L64" s="137" t="s">
        <v>537</v>
      </c>
    </row>
    <row r="65" spans="1:12" ht="26.4">
      <c r="A65" s="132">
        <v>2149</v>
      </c>
      <c r="B65" s="133" t="s">
        <v>282</v>
      </c>
      <c r="C65" s="134" t="s">
        <v>344</v>
      </c>
      <c r="D65" s="135">
        <v>1</v>
      </c>
      <c r="E65" s="136">
        <v>10000</v>
      </c>
      <c r="F65" s="137">
        <v>1E-4</v>
      </c>
      <c r="G65" s="140"/>
      <c r="H65" s="141"/>
      <c r="I65" s="139">
        <v>1E-4</v>
      </c>
      <c r="J65" s="135">
        <v>0.5</v>
      </c>
      <c r="K65" s="136" t="s">
        <v>535</v>
      </c>
      <c r="L65" s="137" t="s">
        <v>537</v>
      </c>
    </row>
    <row r="66" spans="1:12" ht="26.4">
      <c r="A66" s="132">
        <v>2150</v>
      </c>
      <c r="B66" s="133" t="s">
        <v>282</v>
      </c>
      <c r="C66" s="134" t="s">
        <v>345</v>
      </c>
      <c r="D66" s="135">
        <v>100</v>
      </c>
      <c r="E66" s="136">
        <v>1000</v>
      </c>
      <c r="F66" s="137">
        <v>0.1</v>
      </c>
      <c r="G66" s="138">
        <v>100</v>
      </c>
      <c r="H66" s="136">
        <v>50</v>
      </c>
      <c r="I66" s="139">
        <v>2</v>
      </c>
      <c r="J66" s="135">
        <v>0.5</v>
      </c>
      <c r="K66" s="136" t="s">
        <v>535</v>
      </c>
      <c r="L66" s="137" t="s">
        <v>537</v>
      </c>
    </row>
    <row r="67" spans="1:12" ht="26.4">
      <c r="A67" s="132">
        <v>2151</v>
      </c>
      <c r="B67" s="133" t="s">
        <v>282</v>
      </c>
      <c r="C67" s="134" t="s">
        <v>346</v>
      </c>
      <c r="D67" s="135">
        <v>100</v>
      </c>
      <c r="E67" s="136">
        <v>1000</v>
      </c>
      <c r="F67" s="137">
        <v>0.1</v>
      </c>
      <c r="G67" s="140"/>
      <c r="H67" s="141"/>
      <c r="I67" s="139">
        <v>0.1</v>
      </c>
      <c r="J67" s="135">
        <v>0.5</v>
      </c>
      <c r="K67" s="136" t="s">
        <v>535</v>
      </c>
      <c r="L67" s="137" t="s">
        <v>537</v>
      </c>
    </row>
    <row r="68" spans="1:12" ht="26.4">
      <c r="A68" s="132">
        <v>2152</v>
      </c>
      <c r="B68" s="133" t="s">
        <v>282</v>
      </c>
      <c r="C68" s="134" t="s">
        <v>347</v>
      </c>
      <c r="D68" s="135">
        <v>39</v>
      </c>
      <c r="E68" s="136">
        <v>1000</v>
      </c>
      <c r="F68" s="137">
        <v>3.9E-2</v>
      </c>
      <c r="G68" s="138">
        <v>3.2</v>
      </c>
      <c r="H68" s="136">
        <v>50</v>
      </c>
      <c r="I68" s="139">
        <v>6.4000000000000001E-2</v>
      </c>
      <c r="J68" s="135">
        <v>0.05</v>
      </c>
      <c r="K68" s="136" t="s">
        <v>534</v>
      </c>
      <c r="L68" s="137" t="s">
        <v>540</v>
      </c>
    </row>
    <row r="69" spans="1:12" ht="26.4">
      <c r="A69" s="132">
        <v>2153</v>
      </c>
      <c r="B69" s="133" t="s">
        <v>282</v>
      </c>
      <c r="C69" s="134" t="s">
        <v>348</v>
      </c>
      <c r="D69" s="135">
        <v>100</v>
      </c>
      <c r="E69" s="136">
        <v>1000</v>
      </c>
      <c r="F69" s="137">
        <v>0.1</v>
      </c>
      <c r="G69" s="138">
        <v>100</v>
      </c>
      <c r="H69" s="136">
        <v>50</v>
      </c>
      <c r="I69" s="139">
        <v>2</v>
      </c>
      <c r="J69" s="135">
        <v>0.05</v>
      </c>
      <c r="K69" s="136" t="s">
        <v>534</v>
      </c>
      <c r="L69" s="137" t="s">
        <v>537</v>
      </c>
    </row>
    <row r="70" spans="1:12" ht="26.4">
      <c r="A70" s="132">
        <v>2154</v>
      </c>
      <c r="B70" s="133" t="s">
        <v>282</v>
      </c>
      <c r="C70" s="134" t="s">
        <v>349</v>
      </c>
      <c r="D70" s="135">
        <v>12.1</v>
      </c>
      <c r="E70" s="136">
        <v>1000</v>
      </c>
      <c r="F70" s="137">
        <v>1.21E-2</v>
      </c>
      <c r="G70" s="138">
        <v>0.254</v>
      </c>
      <c r="H70" s="136">
        <v>10</v>
      </c>
      <c r="I70" s="139">
        <v>2.5399999999999999E-2</v>
      </c>
      <c r="J70" s="135">
        <v>0.05</v>
      </c>
      <c r="K70" s="136" t="s">
        <v>534</v>
      </c>
      <c r="L70" s="137" t="s">
        <v>540</v>
      </c>
    </row>
    <row r="71" spans="1:12" ht="26.4">
      <c r="A71" s="132">
        <v>2155</v>
      </c>
      <c r="B71" s="133" t="s">
        <v>282</v>
      </c>
      <c r="C71" s="134" t="s">
        <v>350</v>
      </c>
      <c r="D71" s="135">
        <v>5</v>
      </c>
      <c r="E71" s="136">
        <v>1000</v>
      </c>
      <c r="F71" s="137">
        <v>5.0000000000000001E-3</v>
      </c>
      <c r="G71" s="138">
        <v>1.5</v>
      </c>
      <c r="H71" s="136">
        <v>10</v>
      </c>
      <c r="I71" s="139">
        <v>0.15</v>
      </c>
      <c r="J71" s="135">
        <v>0.05</v>
      </c>
      <c r="K71" s="136" t="s">
        <v>534</v>
      </c>
      <c r="L71" s="137" t="s">
        <v>540</v>
      </c>
    </row>
    <row r="72" spans="1:12" ht="26.4">
      <c r="A72" s="132">
        <v>2156</v>
      </c>
      <c r="B72" s="133" t="s">
        <v>282</v>
      </c>
      <c r="C72" s="134" t="s">
        <v>351</v>
      </c>
      <c r="D72" s="135">
        <v>5</v>
      </c>
      <c r="E72" s="136">
        <v>1000</v>
      </c>
      <c r="F72" s="137">
        <v>5.0000000000000001E-3</v>
      </c>
      <c r="G72" s="138">
        <v>1.5</v>
      </c>
      <c r="H72" s="136">
        <v>10</v>
      </c>
      <c r="I72" s="139">
        <v>0.15</v>
      </c>
      <c r="J72" s="135">
        <v>0.05</v>
      </c>
      <c r="K72" s="136" t="s">
        <v>534</v>
      </c>
      <c r="L72" s="137" t="s">
        <v>540</v>
      </c>
    </row>
    <row r="73" spans="1:12" ht="26.4">
      <c r="A73" s="132">
        <v>2157</v>
      </c>
      <c r="B73" s="133" t="s">
        <v>282</v>
      </c>
      <c r="C73" s="134" t="s">
        <v>352</v>
      </c>
      <c r="D73" s="135">
        <v>50</v>
      </c>
      <c r="E73" s="136">
        <v>1000</v>
      </c>
      <c r="F73" s="137">
        <v>0.05</v>
      </c>
      <c r="G73" s="138">
        <v>25</v>
      </c>
      <c r="H73" s="136">
        <v>10</v>
      </c>
      <c r="I73" s="139">
        <v>2.5</v>
      </c>
      <c r="J73" s="135">
        <v>0.05</v>
      </c>
      <c r="K73" s="136" t="s">
        <v>534</v>
      </c>
      <c r="L73" s="137" t="s">
        <v>540</v>
      </c>
    </row>
    <row r="74" spans="1:12" ht="26.4">
      <c r="A74" s="132">
        <v>2158</v>
      </c>
      <c r="B74" s="133" t="s">
        <v>282</v>
      </c>
      <c r="C74" s="134" t="s">
        <v>353</v>
      </c>
      <c r="D74" s="135">
        <v>5</v>
      </c>
      <c r="E74" s="136">
        <v>1000</v>
      </c>
      <c r="F74" s="137">
        <v>5.0000000000000001E-3</v>
      </c>
      <c r="G74" s="138">
        <v>1.5</v>
      </c>
      <c r="H74" s="136">
        <v>10</v>
      </c>
      <c r="I74" s="139">
        <v>0.15</v>
      </c>
      <c r="J74" s="135">
        <v>0.05</v>
      </c>
      <c r="K74" s="136" t="s">
        <v>534</v>
      </c>
      <c r="L74" s="137" t="s">
        <v>537</v>
      </c>
    </row>
    <row r="75" spans="1:12" ht="26.4">
      <c r="A75" s="132">
        <v>2159</v>
      </c>
      <c r="B75" s="133" t="s">
        <v>282</v>
      </c>
      <c r="C75" s="134" t="s">
        <v>354</v>
      </c>
      <c r="D75" s="135">
        <v>5</v>
      </c>
      <c r="E75" s="136">
        <v>1000</v>
      </c>
      <c r="F75" s="137">
        <v>5.0000000000000001E-3</v>
      </c>
      <c r="G75" s="138">
        <v>1.5</v>
      </c>
      <c r="H75" s="136">
        <v>10</v>
      </c>
      <c r="I75" s="139">
        <v>0.15</v>
      </c>
      <c r="J75" s="135">
        <v>0.05</v>
      </c>
      <c r="K75" s="136" t="s">
        <v>534</v>
      </c>
      <c r="L75" s="137" t="s">
        <v>537</v>
      </c>
    </row>
    <row r="76" spans="1:12" ht="26.4">
      <c r="A76" s="132">
        <v>2160</v>
      </c>
      <c r="B76" s="133" t="s">
        <v>282</v>
      </c>
      <c r="C76" s="134" t="s">
        <v>355</v>
      </c>
      <c r="D76" s="135">
        <v>50</v>
      </c>
      <c r="E76" s="136">
        <v>1000</v>
      </c>
      <c r="F76" s="137">
        <v>0.05</v>
      </c>
      <c r="G76" s="138">
        <v>25</v>
      </c>
      <c r="H76" s="136">
        <v>10</v>
      </c>
      <c r="I76" s="139">
        <v>2.5</v>
      </c>
      <c r="J76" s="135">
        <v>0.05</v>
      </c>
      <c r="K76" s="136" t="s">
        <v>534</v>
      </c>
      <c r="L76" s="137" t="s">
        <v>537</v>
      </c>
    </row>
    <row r="77" spans="1:12" ht="26.4">
      <c r="A77" s="132">
        <v>2161</v>
      </c>
      <c r="B77" s="133" t="s">
        <v>282</v>
      </c>
      <c r="C77" s="134" t="s">
        <v>356</v>
      </c>
      <c r="D77" s="135">
        <v>0.43</v>
      </c>
      <c r="E77" s="136">
        <v>1000</v>
      </c>
      <c r="F77" s="137">
        <v>4.2999999999999999E-4</v>
      </c>
      <c r="G77" s="138">
        <v>0.28999999999999998</v>
      </c>
      <c r="H77" s="136">
        <v>10</v>
      </c>
      <c r="I77" s="139">
        <v>2.9000000000000001E-2</v>
      </c>
      <c r="J77" s="135">
        <v>0.05</v>
      </c>
      <c r="K77" s="136" t="s">
        <v>534</v>
      </c>
      <c r="L77" s="137" t="s">
        <v>540</v>
      </c>
    </row>
    <row r="78" spans="1:12" ht="26.4">
      <c r="A78" s="132">
        <v>2162</v>
      </c>
      <c r="B78" s="133" t="s">
        <v>282</v>
      </c>
      <c r="C78" s="134" t="s">
        <v>357</v>
      </c>
      <c r="D78" s="135">
        <v>0.43</v>
      </c>
      <c r="E78" s="136">
        <v>1000</v>
      </c>
      <c r="F78" s="137">
        <v>4.2999999999999999E-4</v>
      </c>
      <c r="G78" s="138">
        <v>0.37</v>
      </c>
      <c r="H78" s="136">
        <v>10</v>
      </c>
      <c r="I78" s="139">
        <v>3.6999999999999998E-2</v>
      </c>
      <c r="J78" s="135">
        <v>0.05</v>
      </c>
      <c r="K78" s="136" t="s">
        <v>534</v>
      </c>
      <c r="L78" s="137" t="s">
        <v>540</v>
      </c>
    </row>
    <row r="79" spans="1:12" ht="26.4">
      <c r="A79" s="132">
        <v>2163</v>
      </c>
      <c r="B79" s="133" t="s">
        <v>282</v>
      </c>
      <c r="C79" s="134" t="s">
        <v>358</v>
      </c>
      <c r="D79" s="135">
        <v>0.4</v>
      </c>
      <c r="E79" s="136">
        <v>1000</v>
      </c>
      <c r="F79" s="137">
        <v>4.0000000000000002E-4</v>
      </c>
      <c r="G79" s="138">
        <v>0.27</v>
      </c>
      <c r="H79" s="136">
        <v>10</v>
      </c>
      <c r="I79" s="139">
        <v>2.7E-2</v>
      </c>
      <c r="J79" s="135">
        <v>0.05</v>
      </c>
      <c r="K79" s="136" t="s">
        <v>534</v>
      </c>
      <c r="L79" s="137" t="s">
        <v>540</v>
      </c>
    </row>
    <row r="80" spans="1:12" ht="26.4">
      <c r="A80" s="132">
        <v>2164</v>
      </c>
      <c r="B80" s="133" t="s">
        <v>282</v>
      </c>
      <c r="C80" s="134" t="s">
        <v>359</v>
      </c>
      <c r="D80" s="152"/>
      <c r="E80" s="141"/>
      <c r="F80" s="137">
        <v>0.01</v>
      </c>
      <c r="G80" s="138">
        <v>0.1</v>
      </c>
      <c r="H80" s="136">
        <v>10</v>
      </c>
      <c r="I80" s="139">
        <v>0.01</v>
      </c>
      <c r="J80" s="135">
        <v>0.05</v>
      </c>
      <c r="K80" s="136" t="s">
        <v>534</v>
      </c>
      <c r="L80" s="137" t="s">
        <v>540</v>
      </c>
    </row>
    <row r="81" spans="1:12" ht="26.4">
      <c r="A81" s="132">
        <v>2165</v>
      </c>
      <c r="B81" s="133" t="s">
        <v>282</v>
      </c>
      <c r="C81" s="134" t="s">
        <v>360</v>
      </c>
      <c r="D81" s="135">
        <v>0.4</v>
      </c>
      <c r="E81" s="136">
        <v>1000</v>
      </c>
      <c r="F81" s="137">
        <v>4.0000000000000002E-4</v>
      </c>
      <c r="G81" s="138">
        <v>0.12</v>
      </c>
      <c r="H81" s="136">
        <v>10</v>
      </c>
      <c r="I81" s="139">
        <v>1.2E-2</v>
      </c>
      <c r="J81" s="135">
        <v>0.05</v>
      </c>
      <c r="K81" s="136" t="s">
        <v>534</v>
      </c>
      <c r="L81" s="137" t="s">
        <v>540</v>
      </c>
    </row>
    <row r="82" spans="1:12" ht="26.4">
      <c r="A82" s="132">
        <v>2166</v>
      </c>
      <c r="B82" s="133" t="s">
        <v>282</v>
      </c>
      <c r="C82" s="134" t="s">
        <v>361</v>
      </c>
      <c r="D82" s="135">
        <v>0.7</v>
      </c>
      <c r="E82" s="136">
        <v>1000</v>
      </c>
      <c r="F82" s="137">
        <v>6.9999999999999999E-4</v>
      </c>
      <c r="G82" s="138">
        <v>4.8600000000000003</v>
      </c>
      <c r="H82" s="136">
        <v>10</v>
      </c>
      <c r="I82" s="139">
        <v>0.48599999999999999</v>
      </c>
      <c r="J82" s="135">
        <v>0.05</v>
      </c>
      <c r="K82" s="136" t="s">
        <v>534</v>
      </c>
      <c r="L82" s="137" t="s">
        <v>540</v>
      </c>
    </row>
    <row r="83" spans="1:12" ht="26.4">
      <c r="A83" s="132">
        <v>2167</v>
      </c>
      <c r="B83" s="133" t="s">
        <v>282</v>
      </c>
      <c r="C83" s="134" t="s">
        <v>362</v>
      </c>
      <c r="D83" s="135">
        <v>13</v>
      </c>
      <c r="E83" s="136">
        <v>1000</v>
      </c>
      <c r="F83" s="137">
        <v>1.2999999999999999E-2</v>
      </c>
      <c r="G83" s="138">
        <v>4.8600000000000003</v>
      </c>
      <c r="H83" s="136">
        <v>10</v>
      </c>
      <c r="I83" s="139">
        <v>0.48599999999999999</v>
      </c>
      <c r="J83" s="135">
        <v>0.05</v>
      </c>
      <c r="K83" s="136" t="s">
        <v>534</v>
      </c>
      <c r="L83" s="137" t="s">
        <v>537</v>
      </c>
    </row>
    <row r="84" spans="1:12" ht="26.4">
      <c r="A84" s="132">
        <v>2168</v>
      </c>
      <c r="B84" s="133" t="s">
        <v>282</v>
      </c>
      <c r="C84" s="134" t="s">
        <v>363</v>
      </c>
      <c r="D84" s="135">
        <v>130</v>
      </c>
      <c r="E84" s="136">
        <v>1000</v>
      </c>
      <c r="F84" s="137">
        <v>0.13</v>
      </c>
      <c r="G84" s="138">
        <v>56</v>
      </c>
      <c r="H84" s="136">
        <v>10</v>
      </c>
      <c r="I84" s="139">
        <v>5.6</v>
      </c>
      <c r="J84" s="135">
        <v>0.05</v>
      </c>
      <c r="K84" s="136" t="s">
        <v>534</v>
      </c>
      <c r="L84" s="137" t="s">
        <v>537</v>
      </c>
    </row>
    <row r="85" spans="1:12" ht="26.4">
      <c r="A85" s="132">
        <v>2170</v>
      </c>
      <c r="B85" s="133" t="s">
        <v>282</v>
      </c>
      <c r="C85" s="134" t="s">
        <v>364</v>
      </c>
      <c r="D85" s="135">
        <v>0.3</v>
      </c>
      <c r="E85" s="136">
        <v>1000</v>
      </c>
      <c r="F85" s="137">
        <v>2.9999999999999997E-4</v>
      </c>
      <c r="G85" s="138">
        <v>0.47</v>
      </c>
      <c r="H85" s="136">
        <v>10</v>
      </c>
      <c r="I85" s="139">
        <v>4.7E-2</v>
      </c>
      <c r="J85" s="135">
        <v>0.05</v>
      </c>
      <c r="K85" s="136" t="s">
        <v>534</v>
      </c>
      <c r="L85" s="137" t="s">
        <v>540</v>
      </c>
    </row>
    <row r="86" spans="1:12" ht="26.4">
      <c r="A86" s="132">
        <v>2171</v>
      </c>
      <c r="B86" s="133" t="s">
        <v>282</v>
      </c>
      <c r="C86" s="134" t="s">
        <v>365</v>
      </c>
      <c r="D86" s="135">
        <v>1</v>
      </c>
      <c r="E86" s="136">
        <v>1000</v>
      </c>
      <c r="F86" s="137">
        <v>1E-3</v>
      </c>
      <c r="G86" s="138">
        <v>0.2</v>
      </c>
      <c r="H86" s="136">
        <v>10</v>
      </c>
      <c r="I86" s="139">
        <v>0.02</v>
      </c>
      <c r="J86" s="135">
        <v>0.05</v>
      </c>
      <c r="K86" s="136" t="s">
        <v>534</v>
      </c>
      <c r="L86" s="137" t="s">
        <v>537</v>
      </c>
    </row>
    <row r="87" spans="1:12" ht="26.4">
      <c r="A87" s="132">
        <v>2172</v>
      </c>
      <c r="B87" s="133" t="s">
        <v>282</v>
      </c>
      <c r="C87" s="134" t="s">
        <v>366</v>
      </c>
      <c r="D87" s="135">
        <v>1</v>
      </c>
      <c r="E87" s="136">
        <v>1000</v>
      </c>
      <c r="F87" s="137">
        <v>1E-3</v>
      </c>
      <c r="G87" s="138">
        <v>0.39</v>
      </c>
      <c r="H87" s="136">
        <v>10</v>
      </c>
      <c r="I87" s="139">
        <v>3.9E-2</v>
      </c>
      <c r="J87" s="135">
        <v>0.05</v>
      </c>
      <c r="K87" s="136" t="s">
        <v>534</v>
      </c>
      <c r="L87" s="137" t="s">
        <v>540</v>
      </c>
    </row>
    <row r="88" spans="1:12" ht="26.4">
      <c r="A88" s="132">
        <v>2173</v>
      </c>
      <c r="B88" s="133" t="s">
        <v>282</v>
      </c>
      <c r="C88" s="134" t="s">
        <v>367</v>
      </c>
      <c r="D88" s="135">
        <v>1</v>
      </c>
      <c r="E88" s="136">
        <v>1000</v>
      </c>
      <c r="F88" s="137">
        <v>1E-3</v>
      </c>
      <c r="G88" s="138">
        <v>1.52</v>
      </c>
      <c r="H88" s="136">
        <v>10</v>
      </c>
      <c r="I88" s="139">
        <v>0.152</v>
      </c>
      <c r="J88" s="135">
        <v>0.05</v>
      </c>
      <c r="K88" s="136" t="s">
        <v>534</v>
      </c>
      <c r="L88" s="137" t="s">
        <v>537</v>
      </c>
    </row>
    <row r="89" spans="1:12" ht="26.4">
      <c r="A89" s="132">
        <v>2174</v>
      </c>
      <c r="B89" s="133" t="s">
        <v>282</v>
      </c>
      <c r="C89" s="134" t="s">
        <v>368</v>
      </c>
      <c r="D89" s="152"/>
      <c r="E89" s="141"/>
      <c r="F89" s="137">
        <v>5.4000000000000003E-3</v>
      </c>
      <c r="G89" s="138">
        <v>5.3999999999999999E-2</v>
      </c>
      <c r="H89" s="136">
        <v>10</v>
      </c>
      <c r="I89" s="139">
        <v>5.4000000000000003E-3</v>
      </c>
      <c r="J89" s="135">
        <v>0.05</v>
      </c>
      <c r="K89" s="136" t="s">
        <v>534</v>
      </c>
      <c r="L89" s="137" t="s">
        <v>537</v>
      </c>
    </row>
    <row r="90" spans="1:12" ht="26.4">
      <c r="A90" s="132">
        <v>2175</v>
      </c>
      <c r="B90" s="133" t="s">
        <v>282</v>
      </c>
      <c r="C90" s="134" t="s">
        <v>369</v>
      </c>
      <c r="D90" s="135">
        <v>3.2</v>
      </c>
      <c r="E90" s="136">
        <v>1000</v>
      </c>
      <c r="F90" s="137">
        <v>3.2000000000000002E-3</v>
      </c>
      <c r="G90" s="138">
        <v>8.2000000000000003E-2</v>
      </c>
      <c r="H90" s="136">
        <v>10</v>
      </c>
      <c r="I90" s="139">
        <v>8.2000000000000007E-3</v>
      </c>
      <c r="J90" s="135">
        <v>0.05</v>
      </c>
      <c r="K90" s="136" t="s">
        <v>534</v>
      </c>
      <c r="L90" s="137" t="s">
        <v>540</v>
      </c>
    </row>
    <row r="91" spans="1:12" ht="26.4">
      <c r="A91" s="132">
        <v>2176</v>
      </c>
      <c r="B91" s="133" t="s">
        <v>282</v>
      </c>
      <c r="C91" s="134" t="s">
        <v>370</v>
      </c>
      <c r="D91" s="135">
        <v>0.72</v>
      </c>
      <c r="E91" s="136">
        <v>1000</v>
      </c>
      <c r="F91" s="137">
        <v>7.2000000000000005E-4</v>
      </c>
      <c r="G91" s="138">
        <v>0.11</v>
      </c>
      <c r="H91" s="136">
        <v>10</v>
      </c>
      <c r="I91" s="139">
        <v>1.0999999999999999E-2</v>
      </c>
      <c r="J91" s="135">
        <v>0.05</v>
      </c>
      <c r="K91" s="136" t="s">
        <v>534</v>
      </c>
      <c r="L91" s="137" t="s">
        <v>540</v>
      </c>
    </row>
    <row r="92" spans="1:12" ht="26.4">
      <c r="A92" s="132">
        <v>2177</v>
      </c>
      <c r="B92" s="133" t="s">
        <v>282</v>
      </c>
      <c r="C92" s="134" t="s">
        <v>371</v>
      </c>
      <c r="D92" s="135">
        <v>4.0999999999999996</v>
      </c>
      <c r="E92" s="136">
        <v>1000</v>
      </c>
      <c r="F92" s="137">
        <v>4.1000000000000003E-3</v>
      </c>
      <c r="G92" s="138">
        <v>28.6</v>
      </c>
      <c r="H92" s="136">
        <v>10</v>
      </c>
      <c r="I92" s="139">
        <v>2.86</v>
      </c>
      <c r="J92" s="135">
        <v>0.05</v>
      </c>
      <c r="K92" s="136" t="s">
        <v>534</v>
      </c>
      <c r="L92" s="137" t="s">
        <v>540</v>
      </c>
    </row>
    <row r="93" spans="1:12" ht="26.4">
      <c r="A93" s="132">
        <v>2178</v>
      </c>
      <c r="B93" s="133" t="s">
        <v>282</v>
      </c>
      <c r="C93" s="134" t="s">
        <v>372</v>
      </c>
      <c r="D93" s="135">
        <v>30</v>
      </c>
      <c r="E93" s="136">
        <v>1000</v>
      </c>
      <c r="F93" s="137">
        <v>0.03</v>
      </c>
      <c r="G93" s="140"/>
      <c r="H93" s="141"/>
      <c r="I93" s="139">
        <v>0.03</v>
      </c>
      <c r="J93" s="135">
        <v>0.05</v>
      </c>
      <c r="K93" s="136" t="s">
        <v>534</v>
      </c>
      <c r="L93" s="137" t="s">
        <v>540</v>
      </c>
    </row>
    <row r="94" spans="1:12" ht="27" thickBot="1">
      <c r="A94" s="144">
        <v>2179</v>
      </c>
      <c r="B94" s="145" t="s">
        <v>282</v>
      </c>
      <c r="C94" s="146" t="s">
        <v>373</v>
      </c>
      <c r="D94" s="147">
        <v>1.3</v>
      </c>
      <c r="E94" s="148">
        <v>1000</v>
      </c>
      <c r="F94" s="149">
        <v>1.2999999999999999E-3</v>
      </c>
      <c r="G94" s="154"/>
      <c r="H94" s="155"/>
      <c r="I94" s="151">
        <v>1.2999999999999999E-3</v>
      </c>
      <c r="J94" s="147">
        <v>0.05</v>
      </c>
      <c r="K94" s="148" t="s">
        <v>534</v>
      </c>
      <c r="L94" s="149" t="s">
        <v>537</v>
      </c>
    </row>
    <row r="95" spans="1:12" ht="26.4">
      <c r="A95" s="124">
        <v>2201</v>
      </c>
      <c r="B95" s="125" t="s">
        <v>283</v>
      </c>
      <c r="C95" s="126" t="s">
        <v>374</v>
      </c>
      <c r="D95" s="127">
        <v>1.7</v>
      </c>
      <c r="E95" s="128">
        <v>1000</v>
      </c>
      <c r="F95" s="156">
        <v>1.6999999999999999E-3</v>
      </c>
      <c r="G95" s="130">
        <v>0.13500000000000001</v>
      </c>
      <c r="H95" s="128">
        <v>10</v>
      </c>
      <c r="I95" s="131">
        <v>1.35E-2</v>
      </c>
      <c r="J95" s="127">
        <v>0.05</v>
      </c>
      <c r="K95" s="128" t="s">
        <v>534</v>
      </c>
      <c r="L95" s="129" t="s">
        <v>540</v>
      </c>
    </row>
    <row r="96" spans="1:12" ht="26.4">
      <c r="A96" s="132">
        <v>2202</v>
      </c>
      <c r="B96" s="133" t="s">
        <v>283</v>
      </c>
      <c r="C96" s="134" t="s">
        <v>375</v>
      </c>
      <c r="D96" s="135">
        <v>0.92500000000000004</v>
      </c>
      <c r="E96" s="136">
        <v>1000</v>
      </c>
      <c r="F96" s="157">
        <v>9.2500000000000004E-4</v>
      </c>
      <c r="G96" s="138">
        <v>0.13500000000000001</v>
      </c>
      <c r="H96" s="136">
        <v>10</v>
      </c>
      <c r="I96" s="139">
        <v>1.35E-2</v>
      </c>
      <c r="J96" s="135">
        <v>0.05</v>
      </c>
      <c r="K96" s="136" t="s">
        <v>534</v>
      </c>
      <c r="L96" s="137" t="s">
        <v>540</v>
      </c>
    </row>
    <row r="97" spans="1:12" ht="26.4">
      <c r="A97" s="132">
        <v>2203</v>
      </c>
      <c r="B97" s="133" t="s">
        <v>283</v>
      </c>
      <c r="C97" s="134" t="s">
        <v>376</v>
      </c>
      <c r="D97" s="135">
        <v>0.3</v>
      </c>
      <c r="E97" s="136">
        <v>1000</v>
      </c>
      <c r="F97" s="157">
        <v>2.9999999999999997E-4</v>
      </c>
      <c r="G97" s="140"/>
      <c r="H97" s="141"/>
      <c r="I97" s="139">
        <v>2.9999999999999997E-4</v>
      </c>
      <c r="J97" s="135">
        <v>0.05</v>
      </c>
      <c r="K97" s="136" t="s">
        <v>534</v>
      </c>
      <c r="L97" s="137" t="s">
        <v>540</v>
      </c>
    </row>
    <row r="98" spans="1:12" ht="26.4">
      <c r="A98" s="132">
        <v>2204</v>
      </c>
      <c r="B98" s="133" t="s">
        <v>283</v>
      </c>
      <c r="C98" s="134" t="s">
        <v>377</v>
      </c>
      <c r="D98" s="135">
        <v>3.4</v>
      </c>
      <c r="E98" s="136">
        <v>1000</v>
      </c>
      <c r="F98" s="157">
        <v>3.3999999999999998E-3</v>
      </c>
      <c r="G98" s="140"/>
      <c r="H98" s="141"/>
      <c r="I98" s="139">
        <v>3.3999999999999998E-3</v>
      </c>
      <c r="J98" s="135">
        <v>0.05</v>
      </c>
      <c r="K98" s="136" t="s">
        <v>534</v>
      </c>
      <c r="L98" s="137" t="s">
        <v>537</v>
      </c>
    </row>
    <row r="99" spans="1:12" ht="26.4">
      <c r="A99" s="132">
        <v>2205</v>
      </c>
      <c r="B99" s="133" t="s">
        <v>283</v>
      </c>
      <c r="C99" s="134" t="s">
        <v>378</v>
      </c>
      <c r="D99" s="135">
        <v>0.68</v>
      </c>
      <c r="E99" s="136">
        <v>5000</v>
      </c>
      <c r="F99" s="157">
        <v>1.36E-4</v>
      </c>
      <c r="G99" s="138">
        <v>0.3</v>
      </c>
      <c r="H99" s="136">
        <v>10</v>
      </c>
      <c r="I99" s="139">
        <v>0.03</v>
      </c>
      <c r="J99" s="135">
        <v>0.05</v>
      </c>
      <c r="K99" s="136" t="s">
        <v>534</v>
      </c>
      <c r="L99" s="137" t="s">
        <v>537</v>
      </c>
    </row>
    <row r="100" spans="1:12" ht="26.4">
      <c r="A100" s="132">
        <v>2206</v>
      </c>
      <c r="B100" s="133" t="s">
        <v>283</v>
      </c>
      <c r="C100" s="134" t="s">
        <v>379</v>
      </c>
      <c r="D100" s="135">
        <v>0.13400000000000001</v>
      </c>
      <c r="E100" s="136">
        <v>1000</v>
      </c>
      <c r="F100" s="157">
        <v>1.34E-4</v>
      </c>
      <c r="G100" s="138">
        <v>6.7000000000000004E-2</v>
      </c>
      <c r="H100" s="136">
        <v>10</v>
      </c>
      <c r="I100" s="139">
        <v>6.7000000000000002E-3</v>
      </c>
      <c r="J100" s="135">
        <v>0.05</v>
      </c>
      <c r="K100" s="136" t="s">
        <v>534</v>
      </c>
      <c r="L100" s="137" t="s">
        <v>537</v>
      </c>
    </row>
    <row r="101" spans="1:12" ht="27" thickBot="1">
      <c r="A101" s="144">
        <v>2207</v>
      </c>
      <c r="B101" s="145" t="s">
        <v>283</v>
      </c>
      <c r="C101" s="146" t="s">
        <v>380</v>
      </c>
      <c r="D101" s="147">
        <v>3.45</v>
      </c>
      <c r="E101" s="148">
        <v>1000</v>
      </c>
      <c r="F101" s="158">
        <v>3.4499999999999999E-3</v>
      </c>
      <c r="G101" s="154"/>
      <c r="H101" s="155"/>
      <c r="I101" s="151">
        <v>3.4499999999999999E-3</v>
      </c>
      <c r="J101" s="147">
        <v>0.05</v>
      </c>
      <c r="K101" s="148" t="s">
        <v>534</v>
      </c>
      <c r="L101" s="149" t="s">
        <v>540</v>
      </c>
    </row>
    <row r="102" spans="1:12">
      <c r="A102" s="124">
        <v>2301</v>
      </c>
      <c r="B102" s="125" t="s">
        <v>284</v>
      </c>
      <c r="C102" s="126" t="s">
        <v>381</v>
      </c>
      <c r="D102" s="127">
        <v>0.08</v>
      </c>
      <c r="E102" s="128">
        <v>1000</v>
      </c>
      <c r="F102" s="129">
        <v>8.0000000000000007E-5</v>
      </c>
      <c r="G102" s="130">
        <v>6.7999999999999996E-3</v>
      </c>
      <c r="H102" s="128">
        <v>10</v>
      </c>
      <c r="I102" s="131">
        <v>6.8000000000000005E-4</v>
      </c>
      <c r="J102" s="127">
        <v>0.05</v>
      </c>
      <c r="K102" s="128" t="s">
        <v>534</v>
      </c>
      <c r="L102" s="129" t="s">
        <v>537</v>
      </c>
    </row>
    <row r="103" spans="1:12">
      <c r="A103" s="132">
        <v>2302</v>
      </c>
      <c r="B103" s="133" t="s">
        <v>284</v>
      </c>
      <c r="C103" s="134" t="s">
        <v>382</v>
      </c>
      <c r="D103" s="135">
        <v>0.05</v>
      </c>
      <c r="E103" s="136">
        <v>1000</v>
      </c>
      <c r="F103" s="137">
        <v>5.0000000000000002E-5</v>
      </c>
      <c r="G103" s="138">
        <v>2.5000000000000001E-2</v>
      </c>
      <c r="H103" s="136">
        <v>10</v>
      </c>
      <c r="I103" s="139">
        <v>2.5000000000000001E-3</v>
      </c>
      <c r="J103" s="135">
        <v>0.05</v>
      </c>
      <c r="K103" s="136" t="s">
        <v>534</v>
      </c>
      <c r="L103" s="137" t="s">
        <v>537</v>
      </c>
    </row>
    <row r="104" spans="1:12">
      <c r="A104" s="132">
        <v>2303</v>
      </c>
      <c r="B104" s="133" t="s">
        <v>284</v>
      </c>
      <c r="C104" s="134" t="s">
        <v>383</v>
      </c>
      <c r="D104" s="135">
        <v>1.91</v>
      </c>
      <c r="E104" s="136">
        <v>1000</v>
      </c>
      <c r="F104" s="137">
        <v>1.91E-3</v>
      </c>
      <c r="G104" s="138">
        <v>1</v>
      </c>
      <c r="H104" s="136">
        <v>10</v>
      </c>
      <c r="I104" s="139">
        <v>0.1</v>
      </c>
      <c r="J104" s="135">
        <v>0.05</v>
      </c>
      <c r="K104" s="136" t="s">
        <v>534</v>
      </c>
      <c r="L104" s="137" t="s">
        <v>540</v>
      </c>
    </row>
    <row r="105" spans="1:12" ht="13.8" thickBot="1">
      <c r="A105" s="144">
        <v>2304</v>
      </c>
      <c r="B105" s="145" t="s">
        <v>284</v>
      </c>
      <c r="C105" s="146" t="s">
        <v>384</v>
      </c>
      <c r="D105" s="159"/>
      <c r="E105" s="155"/>
      <c r="F105" s="160"/>
      <c r="G105" s="150">
        <v>0.69</v>
      </c>
      <c r="H105" s="148">
        <v>50</v>
      </c>
      <c r="I105" s="151">
        <v>1.38E-2</v>
      </c>
      <c r="J105" s="147">
        <v>0.05</v>
      </c>
      <c r="K105" s="148" t="s">
        <v>534</v>
      </c>
      <c r="L105" s="149" t="s">
        <v>537</v>
      </c>
    </row>
    <row r="106" spans="1:12">
      <c r="A106" s="124">
        <v>2401</v>
      </c>
      <c r="B106" s="125" t="s">
        <v>285</v>
      </c>
      <c r="C106" s="126" t="s">
        <v>385</v>
      </c>
      <c r="D106" s="127">
        <v>0.11</v>
      </c>
      <c r="E106" s="128">
        <v>1000</v>
      </c>
      <c r="F106" s="129">
        <v>1.1E-4</v>
      </c>
      <c r="G106" s="130">
        <v>0.04</v>
      </c>
      <c r="H106" s="128">
        <v>10</v>
      </c>
      <c r="I106" s="131">
        <v>4.0000000000000001E-3</v>
      </c>
      <c r="J106" s="127">
        <v>0.5</v>
      </c>
      <c r="K106" s="128" t="s">
        <v>535</v>
      </c>
      <c r="L106" s="129" t="s">
        <v>539</v>
      </c>
    </row>
    <row r="107" spans="1:12">
      <c r="A107" s="132">
        <v>2402</v>
      </c>
      <c r="B107" s="133" t="s">
        <v>285</v>
      </c>
      <c r="C107" s="134" t="s">
        <v>386</v>
      </c>
      <c r="D107" s="135">
        <v>295</v>
      </c>
      <c r="E107" s="136">
        <v>1000</v>
      </c>
      <c r="F107" s="137">
        <v>0.29499999999999998</v>
      </c>
      <c r="G107" s="138">
        <v>51</v>
      </c>
      <c r="H107" s="136">
        <v>50</v>
      </c>
      <c r="I107" s="139">
        <v>1.02</v>
      </c>
      <c r="J107" s="135">
        <v>0.05</v>
      </c>
      <c r="K107" s="136" t="s">
        <v>534</v>
      </c>
      <c r="L107" s="137" t="s">
        <v>540</v>
      </c>
    </row>
    <row r="108" spans="1:12">
      <c r="A108" s="132">
        <v>2403</v>
      </c>
      <c r="B108" s="133" t="s">
        <v>285</v>
      </c>
      <c r="C108" s="134" t="s">
        <v>387</v>
      </c>
      <c r="D108" s="135">
        <v>0.4</v>
      </c>
      <c r="E108" s="136">
        <v>5000</v>
      </c>
      <c r="F108" s="137">
        <v>8.0000000000000007E-5</v>
      </c>
      <c r="G108" s="140"/>
      <c r="H108" s="141"/>
      <c r="I108" s="139">
        <v>8.0000000000000007E-5</v>
      </c>
      <c r="J108" s="135">
        <v>1</v>
      </c>
      <c r="K108" s="136" t="s">
        <v>536</v>
      </c>
      <c r="L108" s="137" t="s">
        <v>537</v>
      </c>
    </row>
    <row r="109" spans="1:12">
      <c r="A109" s="132">
        <v>2404</v>
      </c>
      <c r="B109" s="133" t="s">
        <v>285</v>
      </c>
      <c r="C109" s="134" t="s">
        <v>388</v>
      </c>
      <c r="D109" s="135">
        <v>0.78</v>
      </c>
      <c r="E109" s="136">
        <v>1000</v>
      </c>
      <c r="F109" s="137">
        <v>7.7999999999999999E-4</v>
      </c>
      <c r="G109" s="138">
        <v>0.1</v>
      </c>
      <c r="H109" s="136">
        <v>10</v>
      </c>
      <c r="I109" s="139">
        <v>0.01</v>
      </c>
      <c r="J109" s="135">
        <v>0.15</v>
      </c>
      <c r="K109" s="136" t="s">
        <v>534</v>
      </c>
      <c r="L109" s="137" t="s">
        <v>537</v>
      </c>
    </row>
    <row r="110" spans="1:12">
      <c r="A110" s="132">
        <v>2405</v>
      </c>
      <c r="B110" s="133" t="s">
        <v>285</v>
      </c>
      <c r="C110" s="134" t="s">
        <v>389</v>
      </c>
      <c r="D110" s="135">
        <v>4.8099999999999996</v>
      </c>
      <c r="E110" s="136">
        <v>1000</v>
      </c>
      <c r="F110" s="137">
        <v>4.7999999999999996E-3</v>
      </c>
      <c r="G110" s="140"/>
      <c r="H110" s="141"/>
      <c r="I110" s="139">
        <v>4.7999999999999996E-3</v>
      </c>
      <c r="J110" s="135">
        <v>0.05</v>
      </c>
      <c r="K110" s="136" t="s">
        <v>534</v>
      </c>
      <c r="L110" s="137" t="s">
        <v>537</v>
      </c>
    </row>
    <row r="111" spans="1:12">
      <c r="A111" s="132">
        <v>2406</v>
      </c>
      <c r="B111" s="133" t="s">
        <v>285</v>
      </c>
      <c r="C111" s="134" t="s">
        <v>390</v>
      </c>
      <c r="D111" s="135">
        <v>35</v>
      </c>
      <c r="E111" s="136">
        <v>5000</v>
      </c>
      <c r="F111" s="137">
        <v>7.0000000000000001E-3</v>
      </c>
      <c r="G111" s="140"/>
      <c r="H111" s="141"/>
      <c r="I111" s="139">
        <v>7.0000000000000001E-3</v>
      </c>
      <c r="J111" s="135">
        <v>1</v>
      </c>
      <c r="K111" s="136" t="s">
        <v>536</v>
      </c>
      <c r="L111" s="137" t="s">
        <v>537</v>
      </c>
    </row>
    <row r="112" spans="1:12">
      <c r="A112" s="132">
        <v>2407</v>
      </c>
      <c r="B112" s="133" t="s">
        <v>285</v>
      </c>
      <c r="C112" s="134" t="s">
        <v>391</v>
      </c>
      <c r="D112" s="135">
        <v>2</v>
      </c>
      <c r="E112" s="136">
        <v>1000</v>
      </c>
      <c r="F112" s="137">
        <v>2E-3</v>
      </c>
      <c r="G112" s="140"/>
      <c r="H112" s="141"/>
      <c r="I112" s="139">
        <v>2E-3</v>
      </c>
      <c r="J112" s="135">
        <v>0.05</v>
      </c>
      <c r="K112" s="136" t="s">
        <v>534</v>
      </c>
      <c r="L112" s="137" t="s">
        <v>537</v>
      </c>
    </row>
    <row r="113" spans="1:12">
      <c r="A113" s="132">
        <v>2408</v>
      </c>
      <c r="B113" s="133" t="s">
        <v>285</v>
      </c>
      <c r="C113" s="134" t="s">
        <v>392</v>
      </c>
      <c r="D113" s="135">
        <v>0.375</v>
      </c>
      <c r="E113" s="136">
        <v>1000</v>
      </c>
      <c r="F113" s="137">
        <v>3.7500000000000001E-4</v>
      </c>
      <c r="G113" s="138">
        <v>2.23E-2</v>
      </c>
      <c r="H113" s="136">
        <v>10</v>
      </c>
      <c r="I113" s="139">
        <v>2.2300000000000002E-3</v>
      </c>
      <c r="J113" s="135">
        <v>0.05</v>
      </c>
      <c r="K113" s="136" t="s">
        <v>534</v>
      </c>
      <c r="L113" s="137" t="s">
        <v>537</v>
      </c>
    </row>
    <row r="114" spans="1:12">
      <c r="A114" s="132">
        <v>2410</v>
      </c>
      <c r="B114" s="133" t="s">
        <v>285</v>
      </c>
      <c r="C114" s="134" t="s">
        <v>393</v>
      </c>
      <c r="D114" s="135">
        <v>4.8000000000000001E-2</v>
      </c>
      <c r="E114" s="136">
        <v>1000</v>
      </c>
      <c r="F114" s="137">
        <v>4.8000000000000001E-5</v>
      </c>
      <c r="G114" s="138">
        <v>1.1999999999999999E-3</v>
      </c>
      <c r="H114" s="136">
        <v>10</v>
      </c>
      <c r="I114" s="139">
        <v>1.2E-4</v>
      </c>
      <c r="J114" s="135">
        <v>0.5</v>
      </c>
      <c r="K114" s="136" t="s">
        <v>535</v>
      </c>
      <c r="L114" s="137" t="s">
        <v>537</v>
      </c>
    </row>
    <row r="115" spans="1:12">
      <c r="A115" s="132">
        <v>2411</v>
      </c>
      <c r="B115" s="133" t="s">
        <v>285</v>
      </c>
      <c r="C115" s="134" t="s">
        <v>394</v>
      </c>
      <c r="D115" s="135">
        <v>0.16</v>
      </c>
      <c r="E115" s="136">
        <v>1000</v>
      </c>
      <c r="F115" s="137">
        <v>1.6000000000000001E-4</v>
      </c>
      <c r="G115" s="138">
        <v>0.03</v>
      </c>
      <c r="H115" s="136">
        <v>10</v>
      </c>
      <c r="I115" s="139">
        <v>3.0000000000000001E-3</v>
      </c>
      <c r="J115" s="135">
        <v>0.5</v>
      </c>
      <c r="K115" s="136" t="s">
        <v>535</v>
      </c>
      <c r="L115" s="137" t="s">
        <v>537</v>
      </c>
    </row>
    <row r="116" spans="1:12">
      <c r="A116" s="132">
        <v>2412</v>
      </c>
      <c r="B116" s="133" t="s">
        <v>285</v>
      </c>
      <c r="C116" s="134" t="s">
        <v>395</v>
      </c>
      <c r="D116" s="135">
        <v>0.15</v>
      </c>
      <c r="E116" s="136">
        <v>1000</v>
      </c>
      <c r="F116" s="137">
        <v>1.4999999999999999E-4</v>
      </c>
      <c r="G116" s="140"/>
      <c r="H116" s="141"/>
      <c r="I116" s="139">
        <v>1.4999999999999999E-4</v>
      </c>
      <c r="J116" s="135">
        <v>0.05</v>
      </c>
      <c r="K116" s="136" t="s">
        <v>534</v>
      </c>
      <c r="L116" s="137" t="s">
        <v>537</v>
      </c>
    </row>
    <row r="117" spans="1:12">
      <c r="A117" s="132">
        <v>2413</v>
      </c>
      <c r="B117" s="133" t="s">
        <v>285</v>
      </c>
      <c r="C117" s="134" t="s">
        <v>396</v>
      </c>
      <c r="D117" s="135">
        <v>15.4</v>
      </c>
      <c r="E117" s="136">
        <v>5000</v>
      </c>
      <c r="F117" s="137">
        <v>3.0799999999999998E-3</v>
      </c>
      <c r="G117" s="140"/>
      <c r="H117" s="141"/>
      <c r="I117" s="139">
        <v>3.0799999999999998E-3</v>
      </c>
      <c r="J117" s="135">
        <v>0.05</v>
      </c>
      <c r="K117" s="136" t="s">
        <v>534</v>
      </c>
      <c r="L117" s="137" t="s">
        <v>539</v>
      </c>
    </row>
    <row r="118" spans="1:12">
      <c r="A118" s="132">
        <v>2414</v>
      </c>
      <c r="B118" s="133" t="s">
        <v>285</v>
      </c>
      <c r="C118" s="134" t="s">
        <v>397</v>
      </c>
      <c r="D118" s="135">
        <v>1.1000000000000001</v>
      </c>
      <c r="E118" s="136">
        <v>1000</v>
      </c>
      <c r="F118" s="137">
        <v>1.1000000000000001E-3</v>
      </c>
      <c r="G118" s="138">
        <v>8.9999999999999993E-3</v>
      </c>
      <c r="H118" s="136">
        <v>10</v>
      </c>
      <c r="I118" s="139">
        <v>8.9999999999999998E-4</v>
      </c>
      <c r="J118" s="135">
        <v>0.05</v>
      </c>
      <c r="K118" s="136" t="s">
        <v>534</v>
      </c>
      <c r="L118" s="137" t="s">
        <v>537</v>
      </c>
    </row>
    <row r="119" spans="1:12">
      <c r="A119" s="132">
        <v>2415</v>
      </c>
      <c r="B119" s="133" t="s">
        <v>285</v>
      </c>
      <c r="C119" s="134" t="s">
        <v>398</v>
      </c>
      <c r="D119" s="135">
        <v>24.8</v>
      </c>
      <c r="E119" s="136">
        <v>1000</v>
      </c>
      <c r="F119" s="137">
        <v>2.4799999999999999E-2</v>
      </c>
      <c r="G119" s="138">
        <v>0.09</v>
      </c>
      <c r="H119" s="136">
        <v>50</v>
      </c>
      <c r="I119" s="139">
        <v>1.8E-3</v>
      </c>
      <c r="J119" s="135">
        <v>0.05</v>
      </c>
      <c r="K119" s="136" t="s">
        <v>534</v>
      </c>
      <c r="L119" s="137" t="s">
        <v>540</v>
      </c>
    </row>
    <row r="120" spans="1:12">
      <c r="A120" s="132">
        <v>2416</v>
      </c>
      <c r="B120" s="133" t="s">
        <v>285</v>
      </c>
      <c r="C120" s="134" t="s">
        <v>399</v>
      </c>
      <c r="D120" s="135">
        <v>36.5</v>
      </c>
      <c r="E120" s="136">
        <v>5000</v>
      </c>
      <c r="F120" s="137">
        <v>7.3000000000000001E-3</v>
      </c>
      <c r="G120" s="140"/>
      <c r="H120" s="141"/>
      <c r="I120" s="139">
        <v>7.3000000000000001E-3</v>
      </c>
      <c r="J120" s="135">
        <v>1</v>
      </c>
      <c r="K120" s="136" t="s">
        <v>537</v>
      </c>
      <c r="L120" s="137" t="s">
        <v>537</v>
      </c>
    </row>
    <row r="121" spans="1:12">
      <c r="A121" s="132">
        <v>2418</v>
      </c>
      <c r="B121" s="133" t="s">
        <v>285</v>
      </c>
      <c r="C121" s="134" t="s">
        <v>400</v>
      </c>
      <c r="D121" s="135">
        <v>1.4E-3</v>
      </c>
      <c r="E121" s="136">
        <v>1000</v>
      </c>
      <c r="F121" s="153">
        <v>1.3999999999999999E-6</v>
      </c>
      <c r="G121" s="138">
        <v>6.8999999999999997E-4</v>
      </c>
      <c r="H121" s="136">
        <v>10</v>
      </c>
      <c r="I121" s="139">
        <v>6.8999999999999997E-5</v>
      </c>
      <c r="J121" s="135">
        <v>0.5</v>
      </c>
      <c r="K121" s="136" t="s">
        <v>535</v>
      </c>
      <c r="L121" s="137" t="s">
        <v>537</v>
      </c>
    </row>
    <row r="122" spans="1:12">
      <c r="A122" s="132">
        <v>2419</v>
      </c>
      <c r="B122" s="133" t="s">
        <v>285</v>
      </c>
      <c r="C122" s="134" t="s">
        <v>401</v>
      </c>
      <c r="D122" s="135">
        <v>291</v>
      </c>
      <c r="E122" s="136">
        <v>1000</v>
      </c>
      <c r="F122" s="137">
        <v>0.29099999999999998</v>
      </c>
      <c r="G122" s="138">
        <v>9.43</v>
      </c>
      <c r="H122" s="136">
        <v>10</v>
      </c>
      <c r="I122" s="139">
        <v>0.94299999999999995</v>
      </c>
      <c r="J122" s="135">
        <v>0.05</v>
      </c>
      <c r="K122" s="136" t="s">
        <v>534</v>
      </c>
      <c r="L122" s="137" t="s">
        <v>537</v>
      </c>
    </row>
    <row r="123" spans="1:12">
      <c r="A123" s="132">
        <v>2420</v>
      </c>
      <c r="B123" s="133" t="s">
        <v>285</v>
      </c>
      <c r="C123" s="134" t="s">
        <v>402</v>
      </c>
      <c r="D123" s="135">
        <v>24.1</v>
      </c>
      <c r="E123" s="136">
        <v>1000</v>
      </c>
      <c r="F123" s="137">
        <v>2.41E-2</v>
      </c>
      <c r="G123" s="140"/>
      <c r="H123" s="141"/>
      <c r="I123" s="139">
        <v>2.41E-2</v>
      </c>
      <c r="J123" s="135">
        <v>0.05</v>
      </c>
      <c r="K123" s="136" t="s">
        <v>534</v>
      </c>
      <c r="L123" s="137" t="s">
        <v>537</v>
      </c>
    </row>
    <row r="124" spans="1:12">
      <c r="A124" s="132">
        <v>2421</v>
      </c>
      <c r="B124" s="133" t="s">
        <v>285</v>
      </c>
      <c r="C124" s="134" t="s">
        <v>403</v>
      </c>
      <c r="D124" s="135">
        <v>2.7E-2</v>
      </c>
      <c r="E124" s="136">
        <v>1000</v>
      </c>
      <c r="F124" s="137">
        <v>2.6999999999999999E-5</v>
      </c>
      <c r="G124" s="138">
        <v>8.5000000000000006E-3</v>
      </c>
      <c r="H124" s="136">
        <v>50</v>
      </c>
      <c r="I124" s="139">
        <v>1.7000000000000001E-4</v>
      </c>
      <c r="J124" s="135">
        <v>0.05</v>
      </c>
      <c r="K124" s="136" t="s">
        <v>534</v>
      </c>
      <c r="L124" s="137" t="s">
        <v>537</v>
      </c>
    </row>
    <row r="125" spans="1:12" ht="13.8" thickBot="1">
      <c r="A125" s="144">
        <v>2422</v>
      </c>
      <c r="B125" s="145" t="s">
        <v>285</v>
      </c>
      <c r="C125" s="146" t="s">
        <v>404</v>
      </c>
      <c r="D125" s="147">
        <v>100</v>
      </c>
      <c r="E125" s="148">
        <v>1000</v>
      </c>
      <c r="F125" s="149">
        <v>0.1</v>
      </c>
      <c r="G125" s="154"/>
      <c r="H125" s="155"/>
      <c r="I125" s="151">
        <v>0.1</v>
      </c>
      <c r="J125" s="147">
        <v>0.05</v>
      </c>
      <c r="K125" s="148" t="s">
        <v>534</v>
      </c>
      <c r="L125" s="149" t="s">
        <v>537</v>
      </c>
    </row>
    <row r="126" spans="1:12">
      <c r="A126" s="124">
        <v>2502</v>
      </c>
      <c r="B126" s="125" t="s">
        <v>286</v>
      </c>
      <c r="C126" s="126" t="s">
        <v>405</v>
      </c>
      <c r="D126" s="127">
        <v>100</v>
      </c>
      <c r="E126" s="128">
        <v>1000</v>
      </c>
      <c r="F126" s="129">
        <v>0.1</v>
      </c>
      <c r="G126" s="130">
        <v>100</v>
      </c>
      <c r="H126" s="128">
        <v>10</v>
      </c>
      <c r="I126" s="131">
        <v>10</v>
      </c>
      <c r="J126" s="127">
        <v>1</v>
      </c>
      <c r="K126" s="128" t="s">
        <v>536</v>
      </c>
      <c r="L126" s="129" t="s">
        <v>537</v>
      </c>
    </row>
    <row r="127" spans="1:12">
      <c r="A127" s="132">
        <v>2503</v>
      </c>
      <c r="B127" s="133" t="s">
        <v>286</v>
      </c>
      <c r="C127" s="134" t="s">
        <v>406</v>
      </c>
      <c r="D127" s="135">
        <v>885</v>
      </c>
      <c r="E127" s="136">
        <v>5000</v>
      </c>
      <c r="F127" s="137">
        <v>0.17699999999999999</v>
      </c>
      <c r="G127" s="140"/>
      <c r="H127" s="141"/>
      <c r="I127" s="139">
        <v>0.17699999999999999</v>
      </c>
      <c r="J127" s="135">
        <v>0.05</v>
      </c>
      <c r="K127" s="136" t="s">
        <v>534</v>
      </c>
      <c r="L127" s="137" t="s">
        <v>540</v>
      </c>
    </row>
    <row r="128" spans="1:12">
      <c r="A128" s="132">
        <v>2504</v>
      </c>
      <c r="B128" s="133" t="s">
        <v>286</v>
      </c>
      <c r="C128" s="134" t="s">
        <v>407</v>
      </c>
      <c r="D128" s="135">
        <v>160</v>
      </c>
      <c r="E128" s="136">
        <v>1000</v>
      </c>
      <c r="F128" s="137">
        <v>0.16</v>
      </c>
      <c r="G128" s="140"/>
      <c r="H128" s="141"/>
      <c r="I128" s="139">
        <v>0.16</v>
      </c>
      <c r="J128" s="135">
        <v>0.05</v>
      </c>
      <c r="K128" s="136" t="s">
        <v>538</v>
      </c>
      <c r="L128" s="137" t="s">
        <v>538</v>
      </c>
    </row>
    <row r="129" spans="1:12">
      <c r="A129" s="132">
        <v>2505</v>
      </c>
      <c r="B129" s="133" t="s">
        <v>286</v>
      </c>
      <c r="C129" s="134" t="s">
        <v>408</v>
      </c>
      <c r="D129" s="135">
        <v>100</v>
      </c>
      <c r="E129" s="136">
        <v>1000</v>
      </c>
      <c r="F129" s="137">
        <v>0.1</v>
      </c>
      <c r="G129" s="138">
        <v>100</v>
      </c>
      <c r="H129" s="136">
        <v>50</v>
      </c>
      <c r="I129" s="139">
        <v>2</v>
      </c>
      <c r="J129" s="135">
        <v>1</v>
      </c>
      <c r="K129" s="136" t="s">
        <v>538</v>
      </c>
      <c r="L129" s="137" t="s">
        <v>538</v>
      </c>
    </row>
    <row r="130" spans="1:12">
      <c r="A130" s="132">
        <v>2506</v>
      </c>
      <c r="B130" s="133" t="s">
        <v>286</v>
      </c>
      <c r="C130" s="134" t="s">
        <v>409</v>
      </c>
      <c r="D130" s="135">
        <v>825</v>
      </c>
      <c r="E130" s="136">
        <v>1000</v>
      </c>
      <c r="F130" s="137">
        <v>0.82499999999999996</v>
      </c>
      <c r="G130" s="138">
        <v>80</v>
      </c>
      <c r="H130" s="136">
        <v>50</v>
      </c>
      <c r="I130" s="139">
        <v>1.6</v>
      </c>
      <c r="J130" s="135">
        <v>0.05</v>
      </c>
      <c r="K130" s="136" t="s">
        <v>534</v>
      </c>
      <c r="L130" s="137" t="s">
        <v>540</v>
      </c>
    </row>
    <row r="131" spans="1:12">
      <c r="A131" s="132">
        <v>2507</v>
      </c>
      <c r="B131" s="133" t="s">
        <v>286</v>
      </c>
      <c r="C131" s="134" t="s">
        <v>410</v>
      </c>
      <c r="D131" s="135">
        <v>40</v>
      </c>
      <c r="E131" s="136">
        <v>1000</v>
      </c>
      <c r="F131" s="137">
        <v>0.04</v>
      </c>
      <c r="G131" s="138">
        <v>12</v>
      </c>
      <c r="H131" s="136">
        <v>10</v>
      </c>
      <c r="I131" s="139">
        <v>1.2</v>
      </c>
      <c r="J131" s="135">
        <v>1</v>
      </c>
      <c r="K131" s="136" t="s">
        <v>536</v>
      </c>
      <c r="L131" s="137" t="s">
        <v>539</v>
      </c>
    </row>
    <row r="132" spans="1:12">
      <c r="A132" s="132">
        <v>2508</v>
      </c>
      <c r="B132" s="133" t="s">
        <v>286</v>
      </c>
      <c r="C132" s="134" t="s">
        <v>411</v>
      </c>
      <c r="D132" s="135">
        <v>100</v>
      </c>
      <c r="E132" s="136">
        <v>1000</v>
      </c>
      <c r="F132" s="137">
        <v>0.1</v>
      </c>
      <c r="G132" s="138">
        <v>5.8</v>
      </c>
      <c r="H132" s="136">
        <v>10</v>
      </c>
      <c r="I132" s="139">
        <v>0.57999999999999996</v>
      </c>
      <c r="J132" s="135">
        <v>1</v>
      </c>
      <c r="K132" s="136" t="s">
        <v>536</v>
      </c>
      <c r="L132" s="137" t="s">
        <v>539</v>
      </c>
    </row>
    <row r="133" spans="1:12">
      <c r="A133" s="132">
        <v>2509</v>
      </c>
      <c r="B133" s="133" t="s">
        <v>286</v>
      </c>
      <c r="C133" s="134" t="s">
        <v>412</v>
      </c>
      <c r="D133" s="135">
        <v>494</v>
      </c>
      <c r="E133" s="136">
        <v>1000</v>
      </c>
      <c r="F133" s="137">
        <v>0.49399999999999999</v>
      </c>
      <c r="G133" s="138">
        <v>64</v>
      </c>
      <c r="H133" s="136">
        <v>50</v>
      </c>
      <c r="I133" s="139">
        <v>1.28</v>
      </c>
      <c r="J133" s="135">
        <v>0.05</v>
      </c>
      <c r="K133" s="136" t="s">
        <v>534</v>
      </c>
      <c r="L133" s="137" t="s">
        <v>539</v>
      </c>
    </row>
    <row r="134" spans="1:12">
      <c r="A134" s="132">
        <v>2510</v>
      </c>
      <c r="B134" s="133" t="s">
        <v>286</v>
      </c>
      <c r="C134" s="134" t="s">
        <v>413</v>
      </c>
      <c r="D134" s="135">
        <v>100</v>
      </c>
      <c r="E134" s="136">
        <v>1000</v>
      </c>
      <c r="F134" s="137">
        <v>0.1</v>
      </c>
      <c r="G134" s="138">
        <v>100</v>
      </c>
      <c r="H134" s="136">
        <v>10</v>
      </c>
      <c r="I134" s="139">
        <v>10</v>
      </c>
      <c r="J134" s="135">
        <v>0.05</v>
      </c>
      <c r="K134" s="136" t="s">
        <v>534</v>
      </c>
      <c r="L134" s="137" t="s">
        <v>540</v>
      </c>
    </row>
    <row r="135" spans="1:12">
      <c r="A135" s="132">
        <v>2511</v>
      </c>
      <c r="B135" s="133" t="s">
        <v>286</v>
      </c>
      <c r="C135" s="134" t="s">
        <v>414</v>
      </c>
      <c r="D135" s="135">
        <v>121</v>
      </c>
      <c r="E135" s="136">
        <v>1000</v>
      </c>
      <c r="F135" s="137">
        <v>0.121</v>
      </c>
      <c r="G135" s="138">
        <v>22</v>
      </c>
      <c r="H135" s="136">
        <v>50</v>
      </c>
      <c r="I135" s="139">
        <v>0.44</v>
      </c>
      <c r="J135" s="135">
        <v>0.5</v>
      </c>
      <c r="K135" s="136" t="s">
        <v>535</v>
      </c>
      <c r="L135" s="137" t="s">
        <v>539</v>
      </c>
    </row>
    <row r="136" spans="1:12">
      <c r="A136" s="132">
        <v>2512</v>
      </c>
      <c r="B136" s="133" t="s">
        <v>286</v>
      </c>
      <c r="C136" s="134" t="s">
        <v>415</v>
      </c>
      <c r="D136" s="135">
        <v>650</v>
      </c>
      <c r="E136" s="136">
        <v>1000</v>
      </c>
      <c r="F136" s="137">
        <v>0.65</v>
      </c>
      <c r="G136" s="138">
        <v>25</v>
      </c>
      <c r="H136" s="136">
        <v>50</v>
      </c>
      <c r="I136" s="139">
        <v>0.5</v>
      </c>
      <c r="J136" s="135">
        <v>1</v>
      </c>
      <c r="K136" s="136" t="s">
        <v>536</v>
      </c>
      <c r="L136" s="137" t="s">
        <v>539</v>
      </c>
    </row>
    <row r="137" spans="1:12">
      <c r="A137" s="132">
        <v>2513</v>
      </c>
      <c r="B137" s="133" t="s">
        <v>286</v>
      </c>
      <c r="C137" s="134" t="s">
        <v>416</v>
      </c>
      <c r="D137" s="135">
        <v>5.5</v>
      </c>
      <c r="E137" s="136">
        <v>1000</v>
      </c>
      <c r="F137" s="137">
        <v>5.4999999999999997E-3</v>
      </c>
      <c r="G137" s="138">
        <v>0.66</v>
      </c>
      <c r="H137" s="136">
        <v>10</v>
      </c>
      <c r="I137" s="139">
        <v>6.6000000000000003E-2</v>
      </c>
      <c r="J137" s="135">
        <v>0.05</v>
      </c>
      <c r="K137" s="136" t="s">
        <v>534</v>
      </c>
      <c r="L137" s="137" t="s">
        <v>539</v>
      </c>
    </row>
    <row r="138" spans="1:12">
      <c r="A138" s="132">
        <v>2514</v>
      </c>
      <c r="B138" s="133" t="s">
        <v>286</v>
      </c>
      <c r="C138" s="134" t="s">
        <v>417</v>
      </c>
      <c r="D138" s="135">
        <v>1000</v>
      </c>
      <c r="E138" s="136">
        <v>1000</v>
      </c>
      <c r="F138" s="137">
        <v>1</v>
      </c>
      <c r="G138" s="138">
        <v>423</v>
      </c>
      <c r="H138" s="136">
        <v>10</v>
      </c>
      <c r="I138" s="139">
        <v>42.3</v>
      </c>
      <c r="J138" s="135">
        <v>0.5</v>
      </c>
      <c r="K138" s="136" t="s">
        <v>535</v>
      </c>
      <c r="L138" s="137" t="s">
        <v>539</v>
      </c>
    </row>
    <row r="139" spans="1:12">
      <c r="A139" s="132">
        <v>2515</v>
      </c>
      <c r="B139" s="133" t="s">
        <v>286</v>
      </c>
      <c r="C139" s="134" t="s">
        <v>418</v>
      </c>
      <c r="D139" s="152"/>
      <c r="E139" s="141"/>
      <c r="F139" s="137">
        <v>10</v>
      </c>
      <c r="G139" s="140"/>
      <c r="H139" s="141"/>
      <c r="I139" s="139">
        <v>10</v>
      </c>
      <c r="J139" s="135">
        <v>1</v>
      </c>
      <c r="K139" s="136" t="s">
        <v>538</v>
      </c>
      <c r="L139" s="137" t="s">
        <v>538</v>
      </c>
    </row>
    <row r="140" spans="1:12">
      <c r="A140" s="132">
        <v>2516</v>
      </c>
      <c r="B140" s="133" t="s">
        <v>286</v>
      </c>
      <c r="C140" s="134" t="s">
        <v>419</v>
      </c>
      <c r="D140" s="152"/>
      <c r="E140" s="141"/>
      <c r="F140" s="137">
        <v>10</v>
      </c>
      <c r="G140" s="140"/>
      <c r="H140" s="141"/>
      <c r="I140" s="139">
        <v>10</v>
      </c>
      <c r="J140" s="135">
        <v>0.05</v>
      </c>
      <c r="K140" s="136" t="s">
        <v>538</v>
      </c>
      <c r="L140" s="137" t="s">
        <v>538</v>
      </c>
    </row>
    <row r="141" spans="1:12">
      <c r="A141" s="132">
        <v>2517</v>
      </c>
      <c r="B141" s="133" t="s">
        <v>286</v>
      </c>
      <c r="C141" s="134" t="s">
        <v>420</v>
      </c>
      <c r="D141" s="135">
        <v>100</v>
      </c>
      <c r="E141" s="136">
        <v>1000</v>
      </c>
      <c r="F141" s="137">
        <v>0.1</v>
      </c>
      <c r="G141" s="140"/>
      <c r="H141" s="141"/>
      <c r="I141" s="139">
        <v>0.1</v>
      </c>
      <c r="J141" s="135">
        <v>0.05</v>
      </c>
      <c r="K141" s="136" t="s">
        <v>534</v>
      </c>
      <c r="L141" s="137" t="s">
        <v>540</v>
      </c>
    </row>
    <row r="142" spans="1:12">
      <c r="A142" s="132">
        <v>2518</v>
      </c>
      <c r="B142" s="133" t="s">
        <v>286</v>
      </c>
      <c r="C142" s="134" t="s">
        <v>421</v>
      </c>
      <c r="D142" s="135">
        <v>100</v>
      </c>
      <c r="E142" s="136">
        <v>1000</v>
      </c>
      <c r="F142" s="137">
        <v>0.1</v>
      </c>
      <c r="G142" s="140"/>
      <c r="H142" s="141"/>
      <c r="I142" s="139">
        <v>0.1</v>
      </c>
      <c r="J142" s="135">
        <v>0.05</v>
      </c>
      <c r="K142" s="136" t="s">
        <v>534</v>
      </c>
      <c r="L142" s="137" t="s">
        <v>540</v>
      </c>
    </row>
    <row r="143" spans="1:12">
      <c r="A143" s="132">
        <v>2519</v>
      </c>
      <c r="B143" s="133" t="s">
        <v>286</v>
      </c>
      <c r="C143" s="134" t="s">
        <v>422</v>
      </c>
      <c r="D143" s="135">
        <v>3.6</v>
      </c>
      <c r="E143" s="136">
        <v>1000</v>
      </c>
      <c r="F143" s="137">
        <v>3.5999999999999999E-3</v>
      </c>
      <c r="G143" s="138">
        <v>0.47</v>
      </c>
      <c r="H143" s="136">
        <v>10</v>
      </c>
      <c r="I143" s="139">
        <v>4.7E-2</v>
      </c>
      <c r="J143" s="135">
        <v>0.05</v>
      </c>
      <c r="K143" s="136" t="s">
        <v>534</v>
      </c>
      <c r="L143" s="137" t="s">
        <v>537</v>
      </c>
    </row>
    <row r="144" spans="1:12" ht="26.4">
      <c r="A144" s="132">
        <v>2520</v>
      </c>
      <c r="B144" s="133" t="s">
        <v>286</v>
      </c>
      <c r="C144" s="134" t="s">
        <v>423</v>
      </c>
      <c r="D144" s="135">
        <v>100</v>
      </c>
      <c r="E144" s="136">
        <v>1000</v>
      </c>
      <c r="F144" s="137">
        <v>0.1</v>
      </c>
      <c r="G144" s="138">
        <v>100</v>
      </c>
      <c r="H144" s="136">
        <v>50</v>
      </c>
      <c r="I144" s="139">
        <v>2</v>
      </c>
      <c r="J144" s="135">
        <v>0.05</v>
      </c>
      <c r="K144" s="136" t="s">
        <v>534</v>
      </c>
      <c r="L144" s="137" t="s">
        <v>540</v>
      </c>
    </row>
    <row r="145" spans="1:12">
      <c r="A145" s="132">
        <v>2521</v>
      </c>
      <c r="B145" s="133" t="s">
        <v>286</v>
      </c>
      <c r="C145" s="134" t="s">
        <v>424</v>
      </c>
      <c r="D145" s="135">
        <v>21</v>
      </c>
      <c r="E145" s="136">
        <v>10000</v>
      </c>
      <c r="F145" s="137">
        <v>2.0999999999999999E-3</v>
      </c>
      <c r="G145" s="140"/>
      <c r="H145" s="141"/>
      <c r="I145" s="139">
        <v>2.0999999999999999E-3</v>
      </c>
      <c r="J145" s="135">
        <v>0.05</v>
      </c>
      <c r="K145" s="136" t="s">
        <v>534</v>
      </c>
      <c r="L145" s="137" t="s">
        <v>540</v>
      </c>
    </row>
    <row r="146" spans="1:12">
      <c r="A146" s="132">
        <v>2522</v>
      </c>
      <c r="B146" s="133" t="s">
        <v>286</v>
      </c>
      <c r="C146" s="134" t="s">
        <v>425</v>
      </c>
      <c r="D146" s="135">
        <v>100</v>
      </c>
      <c r="E146" s="136">
        <v>1000</v>
      </c>
      <c r="F146" s="137">
        <v>0.1</v>
      </c>
      <c r="G146" s="140"/>
      <c r="H146" s="141"/>
      <c r="I146" s="139">
        <v>0.1</v>
      </c>
      <c r="J146" s="135">
        <v>0.05</v>
      </c>
      <c r="K146" s="136" t="s">
        <v>534</v>
      </c>
      <c r="L146" s="137" t="s">
        <v>537</v>
      </c>
    </row>
    <row r="147" spans="1:12">
      <c r="A147" s="132">
        <v>2523</v>
      </c>
      <c r="B147" s="133" t="s">
        <v>286</v>
      </c>
      <c r="C147" s="134" t="s">
        <v>426</v>
      </c>
      <c r="D147" s="135">
        <v>207</v>
      </c>
      <c r="E147" s="136">
        <v>1000</v>
      </c>
      <c r="F147" s="137">
        <v>0.20699999999999999</v>
      </c>
      <c r="G147" s="140"/>
      <c r="H147" s="141"/>
      <c r="I147" s="139">
        <v>0.20699999999999999</v>
      </c>
      <c r="J147" s="135">
        <v>1</v>
      </c>
      <c r="K147" s="136" t="s">
        <v>538</v>
      </c>
      <c r="L147" s="137" t="s">
        <v>538</v>
      </c>
    </row>
    <row r="148" spans="1:12">
      <c r="A148" s="132">
        <v>2524</v>
      </c>
      <c r="B148" s="133" t="s">
        <v>286</v>
      </c>
      <c r="C148" s="134" t="s">
        <v>427</v>
      </c>
      <c r="D148" s="135">
        <v>410</v>
      </c>
      <c r="E148" s="136">
        <v>1000</v>
      </c>
      <c r="F148" s="137">
        <v>0.41</v>
      </c>
      <c r="G148" s="140"/>
      <c r="H148" s="141"/>
      <c r="I148" s="139">
        <v>0.41</v>
      </c>
      <c r="J148" s="135">
        <v>0.05</v>
      </c>
      <c r="K148" s="136" t="s">
        <v>534</v>
      </c>
      <c r="L148" s="137" t="s">
        <v>539</v>
      </c>
    </row>
    <row r="149" spans="1:12">
      <c r="A149" s="132">
        <v>2525</v>
      </c>
      <c r="B149" s="133" t="s">
        <v>286</v>
      </c>
      <c r="C149" s="134" t="s">
        <v>428</v>
      </c>
      <c r="D149" s="135">
        <v>14</v>
      </c>
      <c r="E149" s="136">
        <v>1000</v>
      </c>
      <c r="F149" s="137">
        <v>1.4E-2</v>
      </c>
      <c r="G149" s="140"/>
      <c r="H149" s="141"/>
      <c r="I149" s="139">
        <v>1.4E-2</v>
      </c>
      <c r="J149" s="135">
        <v>1</v>
      </c>
      <c r="K149" s="136" t="s">
        <v>538</v>
      </c>
      <c r="L149" s="137" t="s">
        <v>538</v>
      </c>
    </row>
    <row r="150" spans="1:12">
      <c r="A150" s="132">
        <v>2526</v>
      </c>
      <c r="B150" s="133" t="s">
        <v>286</v>
      </c>
      <c r="C150" s="134" t="s">
        <v>429</v>
      </c>
      <c r="D150" s="135">
        <v>4.9000000000000004</v>
      </c>
      <c r="E150" s="136">
        <v>1000</v>
      </c>
      <c r="F150" s="137">
        <v>4.8999999999999998E-3</v>
      </c>
      <c r="G150" s="138">
        <v>0.7</v>
      </c>
      <c r="H150" s="136">
        <v>50</v>
      </c>
      <c r="I150" s="139">
        <v>1.4E-2</v>
      </c>
      <c r="J150" s="135">
        <v>0.01</v>
      </c>
      <c r="K150" s="136" t="s">
        <v>538</v>
      </c>
      <c r="L150" s="137" t="s">
        <v>538</v>
      </c>
    </row>
    <row r="151" spans="1:12">
      <c r="A151" s="132">
        <v>2527</v>
      </c>
      <c r="B151" s="133" t="s">
        <v>286</v>
      </c>
      <c r="C151" s="134" t="s">
        <v>430</v>
      </c>
      <c r="D151" s="135">
        <v>2.4</v>
      </c>
      <c r="E151" s="136">
        <v>1000</v>
      </c>
      <c r="F151" s="137">
        <v>2.3999999999999998E-3</v>
      </c>
      <c r="G151" s="138">
        <v>0.22</v>
      </c>
      <c r="H151" s="136">
        <v>50</v>
      </c>
      <c r="I151" s="139">
        <v>4.4000000000000003E-3</v>
      </c>
      <c r="J151" s="135">
        <v>0.01</v>
      </c>
      <c r="K151" s="136" t="s">
        <v>538</v>
      </c>
      <c r="L151" s="137" t="s">
        <v>538</v>
      </c>
    </row>
    <row r="152" spans="1:12">
      <c r="A152" s="132">
        <v>2528</v>
      </c>
      <c r="B152" s="133" t="s">
        <v>286</v>
      </c>
      <c r="C152" s="134" t="s">
        <v>431</v>
      </c>
      <c r="D152" s="135">
        <v>250</v>
      </c>
      <c r="E152" s="136">
        <v>1000</v>
      </c>
      <c r="F152" s="137">
        <v>0.25</v>
      </c>
      <c r="G152" s="138">
        <v>500</v>
      </c>
      <c r="H152" s="136">
        <v>50</v>
      </c>
      <c r="I152" s="139">
        <v>10</v>
      </c>
      <c r="J152" s="135">
        <v>0.05</v>
      </c>
      <c r="K152" s="136" t="s">
        <v>534</v>
      </c>
      <c r="L152" s="137" t="s">
        <v>540</v>
      </c>
    </row>
    <row r="153" spans="1:12">
      <c r="A153" s="132">
        <v>2529</v>
      </c>
      <c r="B153" s="133" t="s">
        <v>286</v>
      </c>
      <c r="C153" s="134" t="s">
        <v>432</v>
      </c>
      <c r="D153" s="135">
        <v>1000</v>
      </c>
      <c r="E153" s="136">
        <v>1000</v>
      </c>
      <c r="F153" s="137">
        <v>1</v>
      </c>
      <c r="G153" s="140"/>
      <c r="H153" s="141"/>
      <c r="I153" s="139">
        <v>1</v>
      </c>
      <c r="J153" s="135">
        <v>0.05</v>
      </c>
      <c r="K153" s="136" t="s">
        <v>534</v>
      </c>
      <c r="L153" s="137" t="s">
        <v>540</v>
      </c>
    </row>
    <row r="154" spans="1:12">
      <c r="A154" s="132">
        <v>2530</v>
      </c>
      <c r="B154" s="133" t="s">
        <v>286</v>
      </c>
      <c r="C154" s="134" t="s">
        <v>433</v>
      </c>
      <c r="D154" s="135">
        <v>100</v>
      </c>
      <c r="E154" s="136">
        <v>1000</v>
      </c>
      <c r="F154" s="137">
        <v>0.1</v>
      </c>
      <c r="G154" s="138">
        <v>100</v>
      </c>
      <c r="H154" s="136">
        <v>50</v>
      </c>
      <c r="I154" s="139">
        <v>2</v>
      </c>
      <c r="J154" s="135">
        <v>0.05</v>
      </c>
      <c r="K154" s="136" t="s">
        <v>534</v>
      </c>
      <c r="L154" s="137" t="s">
        <v>540</v>
      </c>
    </row>
    <row r="155" spans="1:12">
      <c r="A155" s="132">
        <v>2531</v>
      </c>
      <c r="B155" s="133" t="s">
        <v>286</v>
      </c>
      <c r="C155" s="134" t="s">
        <v>434</v>
      </c>
      <c r="D155" s="135">
        <v>90</v>
      </c>
      <c r="E155" s="136">
        <v>1000</v>
      </c>
      <c r="F155" s="137">
        <v>0.09</v>
      </c>
      <c r="G155" s="138">
        <v>0.78</v>
      </c>
      <c r="H155" s="136">
        <v>50</v>
      </c>
      <c r="I155" s="139">
        <v>1.5599999999999999E-2</v>
      </c>
      <c r="J155" s="135">
        <v>0.05</v>
      </c>
      <c r="K155" s="136" t="s">
        <v>534</v>
      </c>
      <c r="L155" s="137" t="s">
        <v>540</v>
      </c>
    </row>
    <row r="156" spans="1:12">
      <c r="A156" s="132">
        <v>2532</v>
      </c>
      <c r="B156" s="133" t="s">
        <v>286</v>
      </c>
      <c r="C156" s="134" t="s">
        <v>435</v>
      </c>
      <c r="D156" s="135">
        <v>1000</v>
      </c>
      <c r="E156" s="136">
        <v>1000</v>
      </c>
      <c r="F156" s="137">
        <v>1</v>
      </c>
      <c r="G156" s="140"/>
      <c r="H156" s="141"/>
      <c r="I156" s="139">
        <v>1</v>
      </c>
      <c r="J156" s="135">
        <v>0.5</v>
      </c>
      <c r="K156" s="136" t="s">
        <v>535</v>
      </c>
      <c r="L156" s="137" t="s">
        <v>539</v>
      </c>
    </row>
    <row r="157" spans="1:12">
      <c r="A157" s="132">
        <v>2533</v>
      </c>
      <c r="B157" s="133" t="s">
        <v>286</v>
      </c>
      <c r="C157" s="134" t="s">
        <v>436</v>
      </c>
      <c r="D157" s="135">
        <v>250</v>
      </c>
      <c r="E157" s="136">
        <v>5000</v>
      </c>
      <c r="F157" s="137">
        <v>0.05</v>
      </c>
      <c r="G157" s="140"/>
      <c r="H157" s="141"/>
      <c r="I157" s="139">
        <v>0.05</v>
      </c>
      <c r="J157" s="135">
        <v>0.5</v>
      </c>
      <c r="K157" s="136" t="s">
        <v>535</v>
      </c>
      <c r="L157" s="137" t="s">
        <v>539</v>
      </c>
    </row>
    <row r="158" spans="1:12">
      <c r="A158" s="132">
        <v>2534</v>
      </c>
      <c r="B158" s="133" t="s">
        <v>286</v>
      </c>
      <c r="C158" s="134" t="s">
        <v>437</v>
      </c>
      <c r="D158" s="152"/>
      <c r="E158" s="141"/>
      <c r="F158" s="137">
        <v>10</v>
      </c>
      <c r="G158" s="140"/>
      <c r="H158" s="141"/>
      <c r="I158" s="139">
        <v>10</v>
      </c>
      <c r="J158" s="135">
        <v>0.05</v>
      </c>
      <c r="K158" s="136" t="s">
        <v>538</v>
      </c>
      <c r="L158" s="137" t="s">
        <v>538</v>
      </c>
    </row>
    <row r="159" spans="1:12">
      <c r="A159" s="132">
        <v>2535</v>
      </c>
      <c r="B159" s="133" t="s">
        <v>286</v>
      </c>
      <c r="C159" s="134" t="s">
        <v>438</v>
      </c>
      <c r="D159" s="152"/>
      <c r="E159" s="141"/>
      <c r="F159" s="137">
        <v>10</v>
      </c>
      <c r="G159" s="140"/>
      <c r="H159" s="141"/>
      <c r="I159" s="139">
        <v>10</v>
      </c>
      <c r="J159" s="135">
        <v>1</v>
      </c>
      <c r="K159" s="136" t="s">
        <v>538</v>
      </c>
      <c r="L159" s="137" t="s">
        <v>538</v>
      </c>
    </row>
    <row r="160" spans="1:12">
      <c r="A160" s="132">
        <v>2536</v>
      </c>
      <c r="B160" s="133" t="s">
        <v>286</v>
      </c>
      <c r="C160" s="134" t="s">
        <v>439</v>
      </c>
      <c r="D160" s="135">
        <v>9100</v>
      </c>
      <c r="E160" s="136">
        <v>5000</v>
      </c>
      <c r="F160" s="137">
        <v>1.82</v>
      </c>
      <c r="G160" s="140"/>
      <c r="H160" s="141"/>
      <c r="I160" s="139">
        <v>1.82</v>
      </c>
      <c r="J160" s="135">
        <v>0.5</v>
      </c>
      <c r="K160" s="136" t="s">
        <v>535</v>
      </c>
      <c r="L160" s="137" t="s">
        <v>537</v>
      </c>
    </row>
    <row r="161" spans="1:12">
      <c r="A161" s="132">
        <v>2537</v>
      </c>
      <c r="B161" s="133" t="s">
        <v>286</v>
      </c>
      <c r="C161" s="134" t="s">
        <v>440</v>
      </c>
      <c r="D161" s="152"/>
      <c r="E161" s="141"/>
      <c r="F161" s="137">
        <v>10</v>
      </c>
      <c r="G161" s="140"/>
      <c r="H161" s="141"/>
      <c r="I161" s="139">
        <v>10</v>
      </c>
      <c r="J161" s="135">
        <v>1</v>
      </c>
      <c r="K161" s="136" t="s">
        <v>538</v>
      </c>
      <c r="L161" s="137" t="s">
        <v>538</v>
      </c>
    </row>
    <row r="162" spans="1:12">
      <c r="A162" s="132">
        <v>2538</v>
      </c>
      <c r="B162" s="133" t="s">
        <v>286</v>
      </c>
      <c r="C162" s="134" t="s">
        <v>441</v>
      </c>
      <c r="D162" s="135">
        <v>1000</v>
      </c>
      <c r="E162" s="136">
        <v>10000</v>
      </c>
      <c r="F162" s="137">
        <v>0.1</v>
      </c>
      <c r="G162" s="140"/>
      <c r="H162" s="141"/>
      <c r="I162" s="139">
        <v>0.1</v>
      </c>
      <c r="J162" s="135">
        <v>1</v>
      </c>
      <c r="K162" s="136" t="s">
        <v>536</v>
      </c>
      <c r="L162" s="137" t="s">
        <v>539</v>
      </c>
    </row>
    <row r="163" spans="1:12">
      <c r="A163" s="132">
        <v>2539</v>
      </c>
      <c r="B163" s="133" t="s">
        <v>286</v>
      </c>
      <c r="C163" s="134" t="s">
        <v>442</v>
      </c>
      <c r="D163" s="135">
        <v>1000</v>
      </c>
      <c r="E163" s="136">
        <v>10000</v>
      </c>
      <c r="F163" s="137">
        <v>0.1</v>
      </c>
      <c r="G163" s="140"/>
      <c r="H163" s="141"/>
      <c r="I163" s="139">
        <v>0.1</v>
      </c>
      <c r="J163" s="135">
        <v>0.05</v>
      </c>
      <c r="K163" s="136" t="s">
        <v>534</v>
      </c>
      <c r="L163" s="137" t="s">
        <v>540</v>
      </c>
    </row>
    <row r="164" spans="1:12">
      <c r="A164" s="132">
        <v>2540</v>
      </c>
      <c r="B164" s="133" t="s">
        <v>286</v>
      </c>
      <c r="C164" s="134" t="s">
        <v>443</v>
      </c>
      <c r="D164" s="135">
        <v>450</v>
      </c>
      <c r="E164" s="136">
        <v>1000</v>
      </c>
      <c r="F164" s="137">
        <v>0.45</v>
      </c>
      <c r="G164" s="140"/>
      <c r="H164" s="141"/>
      <c r="I164" s="139">
        <v>0.45</v>
      </c>
      <c r="J164" s="135">
        <v>0.05</v>
      </c>
      <c r="K164" s="136" t="s">
        <v>534</v>
      </c>
      <c r="L164" s="137" t="s">
        <v>537</v>
      </c>
    </row>
    <row r="165" spans="1:12">
      <c r="A165" s="132">
        <v>2541</v>
      </c>
      <c r="B165" s="133" t="s">
        <v>286</v>
      </c>
      <c r="C165" s="134" t="s">
        <v>444</v>
      </c>
      <c r="D165" s="135">
        <v>230</v>
      </c>
      <c r="E165" s="136">
        <v>1000</v>
      </c>
      <c r="F165" s="137">
        <v>0.23</v>
      </c>
      <c r="G165" s="138">
        <v>31</v>
      </c>
      <c r="H165" s="136">
        <v>100</v>
      </c>
      <c r="I165" s="139">
        <v>0.31</v>
      </c>
      <c r="J165" s="135">
        <v>0.15</v>
      </c>
      <c r="K165" s="136" t="s">
        <v>534</v>
      </c>
      <c r="L165" s="137" t="s">
        <v>539</v>
      </c>
    </row>
    <row r="166" spans="1:12">
      <c r="A166" s="132">
        <v>2542</v>
      </c>
      <c r="B166" s="133" t="s">
        <v>286</v>
      </c>
      <c r="C166" s="134" t="s">
        <v>445</v>
      </c>
      <c r="D166" s="152"/>
      <c r="E166" s="141"/>
      <c r="F166" s="137">
        <v>10</v>
      </c>
      <c r="G166" s="140"/>
      <c r="H166" s="141"/>
      <c r="I166" s="139">
        <v>10</v>
      </c>
      <c r="J166" s="135">
        <v>0.05</v>
      </c>
      <c r="K166" s="136" t="s">
        <v>538</v>
      </c>
      <c r="L166" s="137" t="s">
        <v>538</v>
      </c>
    </row>
    <row r="167" spans="1:12">
      <c r="A167" s="132">
        <v>2543</v>
      </c>
      <c r="B167" s="133" t="s">
        <v>286</v>
      </c>
      <c r="C167" s="134" t="s">
        <v>446</v>
      </c>
      <c r="D167" s="135">
        <v>28</v>
      </c>
      <c r="E167" s="136">
        <v>1000</v>
      </c>
      <c r="F167" s="137">
        <v>2.8000000000000001E-2</v>
      </c>
      <c r="G167" s="138">
        <v>0.05</v>
      </c>
      <c r="H167" s="136">
        <v>10</v>
      </c>
      <c r="I167" s="139">
        <v>5.0000000000000001E-3</v>
      </c>
      <c r="J167" s="135">
        <v>0.05</v>
      </c>
      <c r="K167" s="136" t="s">
        <v>538</v>
      </c>
      <c r="L167" s="137" t="s">
        <v>538</v>
      </c>
    </row>
    <row r="168" spans="1:12">
      <c r="A168" s="132">
        <v>2544</v>
      </c>
      <c r="B168" s="133" t="s">
        <v>286</v>
      </c>
      <c r="C168" s="134" t="s">
        <v>447</v>
      </c>
      <c r="D168" s="135">
        <v>25</v>
      </c>
      <c r="E168" s="136">
        <v>5000</v>
      </c>
      <c r="F168" s="137">
        <v>5.0000000000000001E-3</v>
      </c>
      <c r="G168" s="140"/>
      <c r="H168" s="141"/>
      <c r="I168" s="139">
        <v>5.0000000000000001E-3</v>
      </c>
      <c r="J168" s="135">
        <v>0.05</v>
      </c>
      <c r="K168" s="136" t="s">
        <v>534</v>
      </c>
      <c r="L168" s="137" t="s">
        <v>540</v>
      </c>
    </row>
    <row r="169" spans="1:12">
      <c r="A169" s="132">
        <v>2545</v>
      </c>
      <c r="B169" s="133" t="s">
        <v>286</v>
      </c>
      <c r="C169" s="134" t="s">
        <v>448</v>
      </c>
      <c r="D169" s="135">
        <v>113</v>
      </c>
      <c r="E169" s="136">
        <v>5000</v>
      </c>
      <c r="F169" s="137">
        <v>2.3E-2</v>
      </c>
      <c r="G169" s="140"/>
      <c r="H169" s="141"/>
      <c r="I169" s="139">
        <v>2.3E-2</v>
      </c>
      <c r="J169" s="135">
        <v>0.05</v>
      </c>
      <c r="K169" s="136" t="s">
        <v>534</v>
      </c>
      <c r="L169" s="137" t="s">
        <v>537</v>
      </c>
    </row>
    <row r="170" spans="1:12">
      <c r="A170" s="132">
        <v>2546</v>
      </c>
      <c r="B170" s="133" t="s">
        <v>286</v>
      </c>
      <c r="C170" s="134" t="s">
        <v>449</v>
      </c>
      <c r="D170" s="135">
        <v>0.17</v>
      </c>
      <c r="E170" s="136">
        <v>1000</v>
      </c>
      <c r="F170" s="137">
        <v>1.7000000000000001E-4</v>
      </c>
      <c r="G170" s="138">
        <v>6.0000000000000001E-3</v>
      </c>
      <c r="H170" s="136">
        <v>50</v>
      </c>
      <c r="I170" s="139">
        <v>1.2E-4</v>
      </c>
      <c r="J170" s="135">
        <v>0.01</v>
      </c>
      <c r="K170" s="136" t="s">
        <v>534</v>
      </c>
      <c r="L170" s="137" t="s">
        <v>540</v>
      </c>
    </row>
    <row r="171" spans="1:12">
      <c r="A171" s="132">
        <v>2547</v>
      </c>
      <c r="B171" s="133" t="s">
        <v>286</v>
      </c>
      <c r="C171" s="134" t="s">
        <v>450</v>
      </c>
      <c r="D171" s="135">
        <v>18</v>
      </c>
      <c r="E171" s="136">
        <v>1000</v>
      </c>
      <c r="F171" s="137">
        <v>1.7999999999999999E-2</v>
      </c>
      <c r="G171" s="140"/>
      <c r="H171" s="141"/>
      <c r="I171" s="139">
        <v>1.7999999999999999E-2</v>
      </c>
      <c r="J171" s="135">
        <v>0.01</v>
      </c>
      <c r="K171" s="136" t="s">
        <v>534</v>
      </c>
      <c r="L171" s="137" t="s">
        <v>540</v>
      </c>
    </row>
    <row r="172" spans="1:12">
      <c r="A172" s="132">
        <v>2548</v>
      </c>
      <c r="B172" s="133" t="s">
        <v>286</v>
      </c>
      <c r="C172" s="134" t="s">
        <v>451</v>
      </c>
      <c r="D172" s="135">
        <v>1972</v>
      </c>
      <c r="E172" s="136">
        <v>1000</v>
      </c>
      <c r="F172" s="137">
        <v>1.972</v>
      </c>
      <c r="G172" s="140"/>
      <c r="H172" s="141"/>
      <c r="I172" s="139">
        <v>1.972</v>
      </c>
      <c r="J172" s="135">
        <v>0.05</v>
      </c>
      <c r="K172" s="136" t="s">
        <v>534</v>
      </c>
      <c r="L172" s="137" t="s">
        <v>537</v>
      </c>
    </row>
    <row r="173" spans="1:12">
      <c r="A173" s="132">
        <v>2549</v>
      </c>
      <c r="B173" s="133" t="s">
        <v>286</v>
      </c>
      <c r="C173" s="134" t="s">
        <v>452</v>
      </c>
      <c r="D173" s="135">
        <v>2</v>
      </c>
      <c r="E173" s="136">
        <v>1000</v>
      </c>
      <c r="F173" s="137">
        <v>2E-3</v>
      </c>
      <c r="G173" s="140"/>
      <c r="H173" s="141"/>
      <c r="I173" s="139">
        <v>2E-3</v>
      </c>
      <c r="J173" s="135">
        <v>0.5</v>
      </c>
      <c r="K173" s="136" t="s">
        <v>535</v>
      </c>
      <c r="L173" s="137" t="s">
        <v>539</v>
      </c>
    </row>
    <row r="174" spans="1:12">
      <c r="A174" s="132">
        <v>2550</v>
      </c>
      <c r="B174" s="133" t="s">
        <v>286</v>
      </c>
      <c r="C174" s="134" t="s">
        <v>453</v>
      </c>
      <c r="D174" s="135">
        <v>10</v>
      </c>
      <c r="E174" s="136">
        <v>1000</v>
      </c>
      <c r="F174" s="137">
        <v>0.01</v>
      </c>
      <c r="G174" s="140"/>
      <c r="H174" s="141"/>
      <c r="I174" s="139">
        <v>0.01</v>
      </c>
      <c r="J174" s="135">
        <v>1</v>
      </c>
      <c r="K174" s="136" t="s">
        <v>536</v>
      </c>
      <c r="L174" s="137" t="s">
        <v>539</v>
      </c>
    </row>
    <row r="175" spans="1:12">
      <c r="A175" s="132">
        <v>2551</v>
      </c>
      <c r="B175" s="133" t="s">
        <v>286</v>
      </c>
      <c r="C175" s="134" t="s">
        <v>454</v>
      </c>
      <c r="D175" s="135">
        <v>100</v>
      </c>
      <c r="E175" s="136">
        <v>1000</v>
      </c>
      <c r="F175" s="137">
        <v>0.1</v>
      </c>
      <c r="G175" s="140"/>
      <c r="H175" s="141"/>
      <c r="I175" s="139">
        <v>0.1</v>
      </c>
      <c r="J175" s="135">
        <v>0.05</v>
      </c>
      <c r="K175" s="136" t="s">
        <v>534</v>
      </c>
      <c r="L175" s="137" t="s">
        <v>540</v>
      </c>
    </row>
    <row r="176" spans="1:12">
      <c r="A176" s="132">
        <v>2552</v>
      </c>
      <c r="B176" s="133" t="s">
        <v>286</v>
      </c>
      <c r="C176" s="134" t="s">
        <v>455</v>
      </c>
      <c r="D176" s="135">
        <v>655</v>
      </c>
      <c r="E176" s="136">
        <v>1000</v>
      </c>
      <c r="F176" s="137">
        <v>0.65500000000000003</v>
      </c>
      <c r="G176" s="140"/>
      <c r="H176" s="141"/>
      <c r="I176" s="139">
        <v>0.65500000000000003</v>
      </c>
      <c r="J176" s="135">
        <v>1</v>
      </c>
      <c r="K176" s="136" t="s">
        <v>536</v>
      </c>
      <c r="L176" s="137" t="s">
        <v>537</v>
      </c>
    </row>
    <row r="177" spans="1:12">
      <c r="A177" s="132">
        <v>2553</v>
      </c>
      <c r="B177" s="133" t="s">
        <v>286</v>
      </c>
      <c r="C177" s="134" t="s">
        <v>456</v>
      </c>
      <c r="D177" s="135">
        <v>530</v>
      </c>
      <c r="E177" s="136">
        <v>1000</v>
      </c>
      <c r="F177" s="137">
        <v>0.53</v>
      </c>
      <c r="G177" s="140"/>
      <c r="H177" s="141"/>
      <c r="I177" s="139">
        <v>0.53</v>
      </c>
      <c r="J177" s="135">
        <v>1</v>
      </c>
      <c r="K177" s="136" t="s">
        <v>536</v>
      </c>
      <c r="L177" s="137" t="s">
        <v>539</v>
      </c>
    </row>
    <row r="178" spans="1:12">
      <c r="A178" s="132">
        <v>2554</v>
      </c>
      <c r="B178" s="133" t="s">
        <v>286</v>
      </c>
      <c r="C178" s="134" t="s">
        <v>457</v>
      </c>
      <c r="D178" s="135">
        <v>0.2</v>
      </c>
      <c r="E178" s="136">
        <v>1000</v>
      </c>
      <c r="F178" s="137">
        <v>2.0000000000000001E-4</v>
      </c>
      <c r="G178" s="138">
        <v>0.16</v>
      </c>
      <c r="H178" s="136">
        <v>100</v>
      </c>
      <c r="I178" s="139">
        <v>1.6000000000000001E-3</v>
      </c>
      <c r="J178" s="135">
        <v>1</v>
      </c>
      <c r="K178" s="136" t="s">
        <v>536</v>
      </c>
      <c r="L178" s="137" t="s">
        <v>539</v>
      </c>
    </row>
    <row r="179" spans="1:12">
      <c r="A179" s="132">
        <v>2555</v>
      </c>
      <c r="B179" s="133" t="s">
        <v>286</v>
      </c>
      <c r="C179" s="134" t="s">
        <v>458</v>
      </c>
      <c r="D179" s="135">
        <v>81</v>
      </c>
      <c r="E179" s="136">
        <v>1000</v>
      </c>
      <c r="F179" s="137">
        <v>8.1000000000000003E-2</v>
      </c>
      <c r="G179" s="138">
        <v>11.7</v>
      </c>
      <c r="H179" s="136">
        <v>50</v>
      </c>
      <c r="I179" s="139">
        <v>0.23400000000000001</v>
      </c>
      <c r="J179" s="135">
        <v>0.05</v>
      </c>
      <c r="K179" s="136" t="s">
        <v>534</v>
      </c>
      <c r="L179" s="137" t="s">
        <v>539</v>
      </c>
    </row>
    <row r="180" spans="1:12">
      <c r="A180" s="132">
        <v>2556</v>
      </c>
      <c r="B180" s="133" t="s">
        <v>286</v>
      </c>
      <c r="C180" s="134" t="s">
        <v>459</v>
      </c>
      <c r="D180" s="135">
        <v>100</v>
      </c>
      <c r="E180" s="136">
        <v>1000</v>
      </c>
      <c r="F180" s="137">
        <v>0.1</v>
      </c>
      <c r="G180" s="138">
        <v>5.5</v>
      </c>
      <c r="H180" s="136">
        <v>50</v>
      </c>
      <c r="I180" s="139">
        <v>0.11</v>
      </c>
      <c r="J180" s="135">
        <v>0.5</v>
      </c>
      <c r="K180" s="136" t="s">
        <v>535</v>
      </c>
      <c r="L180" s="137" t="s">
        <v>539</v>
      </c>
    </row>
    <row r="181" spans="1:12">
      <c r="A181" s="132">
        <v>2557</v>
      </c>
      <c r="B181" s="133" t="s">
        <v>286</v>
      </c>
      <c r="C181" s="134" t="s">
        <v>460</v>
      </c>
      <c r="D181" s="135">
        <v>10</v>
      </c>
      <c r="E181" s="136">
        <v>1000</v>
      </c>
      <c r="F181" s="137">
        <v>0.01</v>
      </c>
      <c r="G181" s="138">
        <v>1</v>
      </c>
      <c r="H181" s="136">
        <v>10</v>
      </c>
      <c r="I181" s="139">
        <v>0.1</v>
      </c>
      <c r="J181" s="135">
        <v>1</v>
      </c>
      <c r="K181" s="136" t="s">
        <v>536</v>
      </c>
      <c r="L181" s="137" t="s">
        <v>539</v>
      </c>
    </row>
    <row r="182" spans="1:12">
      <c r="A182" s="132">
        <v>2558</v>
      </c>
      <c r="B182" s="133" t="s">
        <v>286</v>
      </c>
      <c r="C182" s="134" t="s">
        <v>461</v>
      </c>
      <c r="D182" s="135">
        <v>4.2249999999999996</v>
      </c>
      <c r="E182" s="136">
        <v>1000</v>
      </c>
      <c r="F182" s="137">
        <v>4.2249999999999996E-3</v>
      </c>
      <c r="G182" s="138">
        <v>0.11</v>
      </c>
      <c r="H182" s="136">
        <v>50</v>
      </c>
      <c r="I182" s="139">
        <v>2.2000000000000001E-3</v>
      </c>
      <c r="J182" s="135">
        <v>0.05</v>
      </c>
      <c r="K182" s="136" t="s">
        <v>534</v>
      </c>
      <c r="L182" s="137" t="s">
        <v>537</v>
      </c>
    </row>
    <row r="183" spans="1:12">
      <c r="A183" s="132">
        <v>2559</v>
      </c>
      <c r="B183" s="133" t="s">
        <v>286</v>
      </c>
      <c r="C183" s="134" t="s">
        <v>462</v>
      </c>
      <c r="D183" s="135">
        <v>0.26</v>
      </c>
      <c r="E183" s="136">
        <v>1000</v>
      </c>
      <c r="F183" s="137">
        <v>2.5999999999999998E-4</v>
      </c>
      <c r="G183" s="138">
        <v>3.9600000000000003E-2</v>
      </c>
      <c r="H183" s="136">
        <v>50</v>
      </c>
      <c r="I183" s="139">
        <v>7.9000000000000001E-4</v>
      </c>
      <c r="J183" s="135">
        <v>0.05</v>
      </c>
      <c r="K183" s="136" t="s">
        <v>534</v>
      </c>
      <c r="L183" s="137" t="s">
        <v>537</v>
      </c>
    </row>
    <row r="184" spans="1:12">
      <c r="A184" s="132">
        <v>2560</v>
      </c>
      <c r="B184" s="133" t="s">
        <v>286</v>
      </c>
      <c r="C184" s="134" t="s">
        <v>463</v>
      </c>
      <c r="D184" s="135">
        <v>100</v>
      </c>
      <c r="E184" s="136">
        <v>1000</v>
      </c>
      <c r="F184" s="137">
        <v>0.1</v>
      </c>
      <c r="G184" s="140"/>
      <c r="H184" s="141"/>
      <c r="I184" s="139">
        <v>0.1</v>
      </c>
      <c r="J184" s="135">
        <v>0.05</v>
      </c>
      <c r="K184" s="136" t="s">
        <v>534</v>
      </c>
      <c r="L184" s="137" t="s">
        <v>540</v>
      </c>
    </row>
    <row r="185" spans="1:12">
      <c r="A185" s="132">
        <v>2561</v>
      </c>
      <c r="B185" s="133" t="s">
        <v>286</v>
      </c>
      <c r="C185" s="134" t="s">
        <v>464</v>
      </c>
      <c r="D185" s="135">
        <v>31</v>
      </c>
      <c r="E185" s="136">
        <v>1000</v>
      </c>
      <c r="F185" s="137">
        <v>3.1E-2</v>
      </c>
      <c r="G185" s="140"/>
      <c r="H185" s="141"/>
      <c r="I185" s="139">
        <v>3.1E-2</v>
      </c>
      <c r="J185" s="135">
        <v>0.05</v>
      </c>
      <c r="K185" s="136" t="s">
        <v>534</v>
      </c>
      <c r="L185" s="137" t="s">
        <v>537</v>
      </c>
    </row>
    <row r="186" spans="1:12">
      <c r="A186" s="132">
        <v>2562</v>
      </c>
      <c r="B186" s="133" t="s">
        <v>286</v>
      </c>
      <c r="C186" s="134" t="s">
        <v>465</v>
      </c>
      <c r="D186" s="135">
        <v>106</v>
      </c>
      <c r="E186" s="136">
        <v>1000</v>
      </c>
      <c r="F186" s="137">
        <v>0.106</v>
      </c>
      <c r="G186" s="140"/>
      <c r="H186" s="141"/>
      <c r="I186" s="139">
        <v>0.106</v>
      </c>
      <c r="J186" s="135">
        <v>0.05</v>
      </c>
      <c r="K186" s="136" t="s">
        <v>534</v>
      </c>
      <c r="L186" s="137" t="s">
        <v>540</v>
      </c>
    </row>
    <row r="187" spans="1:12">
      <c r="A187" s="132">
        <v>2563</v>
      </c>
      <c r="B187" s="133" t="s">
        <v>286</v>
      </c>
      <c r="C187" s="134" t="s">
        <v>466</v>
      </c>
      <c r="D187" s="135">
        <v>106</v>
      </c>
      <c r="E187" s="136">
        <v>1000</v>
      </c>
      <c r="F187" s="137">
        <v>0.106</v>
      </c>
      <c r="G187" s="140"/>
      <c r="H187" s="141"/>
      <c r="I187" s="139">
        <v>0.106</v>
      </c>
      <c r="J187" s="135">
        <v>0.05</v>
      </c>
      <c r="K187" s="136" t="s">
        <v>534</v>
      </c>
      <c r="L187" s="137" t="s">
        <v>537</v>
      </c>
    </row>
    <row r="188" spans="1:12">
      <c r="A188" s="132">
        <v>2564</v>
      </c>
      <c r="B188" s="133" t="s">
        <v>286</v>
      </c>
      <c r="C188" s="134" t="s">
        <v>467</v>
      </c>
      <c r="D188" s="135">
        <v>51</v>
      </c>
      <c r="E188" s="136">
        <v>1000</v>
      </c>
      <c r="F188" s="137">
        <v>5.0999999999999997E-2</v>
      </c>
      <c r="G188" s="140"/>
      <c r="H188" s="141"/>
      <c r="I188" s="139">
        <v>5.0999999999999997E-2</v>
      </c>
      <c r="J188" s="135">
        <v>0.05</v>
      </c>
      <c r="K188" s="136" t="s">
        <v>534</v>
      </c>
      <c r="L188" s="137" t="s">
        <v>537</v>
      </c>
    </row>
    <row r="189" spans="1:12">
      <c r="A189" s="132">
        <v>2565</v>
      </c>
      <c r="B189" s="133" t="s">
        <v>286</v>
      </c>
      <c r="C189" s="134" t="s">
        <v>468</v>
      </c>
      <c r="D189" s="135">
        <v>138</v>
      </c>
      <c r="E189" s="136">
        <v>1000</v>
      </c>
      <c r="F189" s="137">
        <v>0.13800000000000001</v>
      </c>
      <c r="G189" s="140"/>
      <c r="H189" s="141"/>
      <c r="I189" s="139">
        <v>0.13800000000000001</v>
      </c>
      <c r="J189" s="135">
        <v>0.05</v>
      </c>
      <c r="K189" s="136" t="s">
        <v>538</v>
      </c>
      <c r="L189" s="137" t="s">
        <v>538</v>
      </c>
    </row>
    <row r="190" spans="1:12">
      <c r="A190" s="132">
        <v>2566</v>
      </c>
      <c r="B190" s="133" t="s">
        <v>286</v>
      </c>
      <c r="C190" s="134" t="s">
        <v>469</v>
      </c>
      <c r="D190" s="135">
        <v>128</v>
      </c>
      <c r="E190" s="136">
        <v>5000</v>
      </c>
      <c r="F190" s="137">
        <v>2.5600000000000001E-2</v>
      </c>
      <c r="G190" s="140"/>
      <c r="H190" s="141"/>
      <c r="I190" s="139">
        <v>2.5600000000000001E-2</v>
      </c>
      <c r="J190" s="135">
        <v>0.05</v>
      </c>
      <c r="K190" s="136" t="s">
        <v>534</v>
      </c>
      <c r="L190" s="137" t="s">
        <v>537</v>
      </c>
    </row>
    <row r="191" spans="1:12">
      <c r="A191" s="132">
        <v>2567</v>
      </c>
      <c r="B191" s="133" t="s">
        <v>286</v>
      </c>
      <c r="C191" s="134" t="s">
        <v>470</v>
      </c>
      <c r="D191" s="135">
        <v>30</v>
      </c>
      <c r="E191" s="136">
        <v>1000</v>
      </c>
      <c r="F191" s="137">
        <v>0.03</v>
      </c>
      <c r="G191" s="140"/>
      <c r="H191" s="141"/>
      <c r="I191" s="139">
        <v>0.03</v>
      </c>
      <c r="J191" s="135">
        <v>0.05</v>
      </c>
      <c r="K191" s="136" t="s">
        <v>534</v>
      </c>
      <c r="L191" s="137" t="s">
        <v>540</v>
      </c>
    </row>
    <row r="192" spans="1:12">
      <c r="A192" s="132">
        <v>2568</v>
      </c>
      <c r="B192" s="133" t="s">
        <v>286</v>
      </c>
      <c r="C192" s="134" t="s">
        <v>471</v>
      </c>
      <c r="D192" s="135">
        <v>130</v>
      </c>
      <c r="E192" s="136">
        <v>1000</v>
      </c>
      <c r="F192" s="137">
        <v>0.13</v>
      </c>
      <c r="G192" s="140"/>
      <c r="H192" s="141"/>
      <c r="I192" s="139">
        <v>0.13</v>
      </c>
      <c r="J192" s="135">
        <v>0.05</v>
      </c>
      <c r="K192" s="136" t="s">
        <v>534</v>
      </c>
      <c r="L192" s="137" t="s">
        <v>540</v>
      </c>
    </row>
    <row r="193" spans="1:12">
      <c r="A193" s="132">
        <v>2569</v>
      </c>
      <c r="B193" s="133" t="s">
        <v>286</v>
      </c>
      <c r="C193" s="134" t="s">
        <v>472</v>
      </c>
      <c r="D193" s="135">
        <v>48</v>
      </c>
      <c r="E193" s="136">
        <v>1000</v>
      </c>
      <c r="F193" s="137">
        <v>4.8000000000000001E-2</v>
      </c>
      <c r="G193" s="140"/>
      <c r="H193" s="141"/>
      <c r="I193" s="139">
        <v>4.8000000000000001E-2</v>
      </c>
      <c r="J193" s="135">
        <v>1</v>
      </c>
      <c r="K193" s="136" t="s">
        <v>538</v>
      </c>
      <c r="L193" s="137" t="s">
        <v>538</v>
      </c>
    </row>
    <row r="194" spans="1:12">
      <c r="A194" s="132">
        <v>2570</v>
      </c>
      <c r="B194" s="133" t="s">
        <v>286</v>
      </c>
      <c r="C194" s="134" t="s">
        <v>473</v>
      </c>
      <c r="D194" s="135">
        <v>100</v>
      </c>
      <c r="E194" s="136">
        <v>1000</v>
      </c>
      <c r="F194" s="137">
        <v>0.1</v>
      </c>
      <c r="G194" s="138">
        <v>10</v>
      </c>
      <c r="H194" s="136">
        <v>50</v>
      </c>
      <c r="I194" s="139">
        <v>0.2</v>
      </c>
      <c r="J194" s="135">
        <v>0.05</v>
      </c>
      <c r="K194" s="136" t="s">
        <v>534</v>
      </c>
      <c r="L194" s="137" t="s">
        <v>537</v>
      </c>
    </row>
    <row r="195" spans="1:12">
      <c r="A195" s="132">
        <v>2571</v>
      </c>
      <c r="B195" s="133" t="s">
        <v>286</v>
      </c>
      <c r="C195" s="134" t="s">
        <v>474</v>
      </c>
      <c r="D195" s="135">
        <v>31.2</v>
      </c>
      <c r="E195" s="136">
        <v>1000</v>
      </c>
      <c r="F195" s="137">
        <v>3.1199999999999999E-2</v>
      </c>
      <c r="G195" s="140"/>
      <c r="H195" s="141"/>
      <c r="I195" s="139">
        <v>3.1199999999999999E-2</v>
      </c>
      <c r="J195" s="135">
        <v>0.05</v>
      </c>
      <c r="K195" s="136" t="s">
        <v>534</v>
      </c>
      <c r="L195" s="137" t="s">
        <v>537</v>
      </c>
    </row>
    <row r="196" spans="1:12">
      <c r="A196" s="132">
        <v>2572</v>
      </c>
      <c r="B196" s="133" t="s">
        <v>286</v>
      </c>
      <c r="C196" s="134" t="s">
        <v>475</v>
      </c>
      <c r="D196" s="135">
        <v>208</v>
      </c>
      <c r="E196" s="136">
        <v>5000</v>
      </c>
      <c r="F196" s="137">
        <v>4.1599999999999998E-2</v>
      </c>
      <c r="G196" s="140"/>
      <c r="H196" s="141"/>
      <c r="I196" s="139">
        <v>4.1599999999999998E-2</v>
      </c>
      <c r="J196" s="135">
        <v>0.05</v>
      </c>
      <c r="K196" s="136" t="s">
        <v>534</v>
      </c>
      <c r="L196" s="137" t="s">
        <v>537</v>
      </c>
    </row>
    <row r="197" spans="1:12">
      <c r="A197" s="132">
        <v>2573</v>
      </c>
      <c r="B197" s="133" t="s">
        <v>286</v>
      </c>
      <c r="C197" s="134" t="s">
        <v>476</v>
      </c>
      <c r="D197" s="135">
        <v>95</v>
      </c>
      <c r="E197" s="136">
        <v>5000</v>
      </c>
      <c r="F197" s="137">
        <v>1.9E-2</v>
      </c>
      <c r="G197" s="140"/>
      <c r="H197" s="141"/>
      <c r="I197" s="139">
        <v>1.9E-2</v>
      </c>
      <c r="J197" s="135">
        <v>0.05</v>
      </c>
      <c r="K197" s="136" t="s">
        <v>534</v>
      </c>
      <c r="L197" s="137" t="s">
        <v>537</v>
      </c>
    </row>
    <row r="198" spans="1:12">
      <c r="A198" s="132">
        <v>2574</v>
      </c>
      <c r="B198" s="133" t="s">
        <v>286</v>
      </c>
      <c r="C198" s="134" t="s">
        <v>477</v>
      </c>
      <c r="D198" s="135">
        <v>6500</v>
      </c>
      <c r="E198" s="136">
        <v>1000</v>
      </c>
      <c r="F198" s="137">
        <v>6.5</v>
      </c>
      <c r="G198" s="140"/>
      <c r="H198" s="141"/>
      <c r="I198" s="139">
        <v>6.5</v>
      </c>
      <c r="J198" s="135">
        <v>0.05</v>
      </c>
      <c r="K198" s="136" t="s">
        <v>534</v>
      </c>
      <c r="L198" s="137" t="s">
        <v>540</v>
      </c>
    </row>
    <row r="199" spans="1:12">
      <c r="A199" s="132">
        <v>2575</v>
      </c>
      <c r="B199" s="133" t="s">
        <v>286</v>
      </c>
      <c r="C199" s="134" t="s">
        <v>478</v>
      </c>
      <c r="D199" s="135">
        <v>911</v>
      </c>
      <c r="E199" s="136">
        <v>1000</v>
      </c>
      <c r="F199" s="137">
        <v>0.91100000000000003</v>
      </c>
      <c r="G199" s="138">
        <v>88</v>
      </c>
      <c r="H199" s="136">
        <v>10</v>
      </c>
      <c r="I199" s="139">
        <v>8.8000000000000007</v>
      </c>
      <c r="J199" s="135">
        <v>0.05</v>
      </c>
      <c r="K199" s="136" t="s">
        <v>534</v>
      </c>
      <c r="L199" s="137" t="s">
        <v>540</v>
      </c>
    </row>
    <row r="200" spans="1:12">
      <c r="A200" s="132">
        <v>2576</v>
      </c>
      <c r="B200" s="133" t="s">
        <v>286</v>
      </c>
      <c r="C200" s="134" t="s">
        <v>479</v>
      </c>
      <c r="D200" s="135">
        <v>4400</v>
      </c>
      <c r="E200" s="136">
        <v>1000</v>
      </c>
      <c r="F200" s="137">
        <v>4.4000000000000004</v>
      </c>
      <c r="G200" s="138">
        <v>100</v>
      </c>
      <c r="H200" s="136">
        <v>10</v>
      </c>
      <c r="I200" s="139">
        <v>10</v>
      </c>
      <c r="J200" s="135">
        <v>0.05</v>
      </c>
      <c r="K200" s="136" t="s">
        <v>534</v>
      </c>
      <c r="L200" s="137" t="s">
        <v>540</v>
      </c>
    </row>
    <row r="201" spans="1:12">
      <c r="A201" s="132">
        <v>2577</v>
      </c>
      <c r="B201" s="133" t="s">
        <v>286</v>
      </c>
      <c r="C201" s="134" t="s">
        <v>480</v>
      </c>
      <c r="D201" s="135">
        <v>500</v>
      </c>
      <c r="E201" s="136">
        <v>1000</v>
      </c>
      <c r="F201" s="137">
        <v>0.5</v>
      </c>
      <c r="G201" s="140"/>
      <c r="H201" s="141"/>
      <c r="I201" s="139">
        <v>0.5</v>
      </c>
      <c r="J201" s="135">
        <v>0.05</v>
      </c>
      <c r="K201" s="136" t="s">
        <v>534</v>
      </c>
      <c r="L201" s="137" t="s">
        <v>537</v>
      </c>
    </row>
    <row r="202" spans="1:12">
      <c r="A202" s="132">
        <v>2578</v>
      </c>
      <c r="B202" s="133" t="s">
        <v>286</v>
      </c>
      <c r="C202" s="134" t="s">
        <v>481</v>
      </c>
      <c r="D202" s="135">
        <v>3940</v>
      </c>
      <c r="E202" s="136">
        <v>5000</v>
      </c>
      <c r="F202" s="137">
        <v>0.78800000000000003</v>
      </c>
      <c r="G202" s="140"/>
      <c r="H202" s="141"/>
      <c r="I202" s="139">
        <v>0.78800000000000003</v>
      </c>
      <c r="J202" s="135">
        <v>0.05</v>
      </c>
      <c r="K202" s="136" t="s">
        <v>534</v>
      </c>
      <c r="L202" s="137" t="s">
        <v>537</v>
      </c>
    </row>
    <row r="203" spans="1:12">
      <c r="A203" s="132">
        <v>2579</v>
      </c>
      <c r="B203" s="133" t="s">
        <v>286</v>
      </c>
      <c r="C203" s="134" t="s">
        <v>482</v>
      </c>
      <c r="D203" s="135">
        <v>1254</v>
      </c>
      <c r="E203" s="136">
        <v>1000</v>
      </c>
      <c r="F203" s="137">
        <v>1.254</v>
      </c>
      <c r="G203" s="140"/>
      <c r="H203" s="141"/>
      <c r="I203" s="139">
        <v>1.254</v>
      </c>
      <c r="J203" s="135">
        <v>0.05</v>
      </c>
      <c r="K203" s="136" t="s">
        <v>534</v>
      </c>
      <c r="L203" s="137" t="s">
        <v>537</v>
      </c>
    </row>
    <row r="204" spans="1:12">
      <c r="A204" s="132">
        <v>2580</v>
      </c>
      <c r="B204" s="133" t="s">
        <v>286</v>
      </c>
      <c r="C204" s="134" t="s">
        <v>483</v>
      </c>
      <c r="D204" s="135">
        <v>943</v>
      </c>
      <c r="E204" s="136">
        <v>1000</v>
      </c>
      <c r="F204" s="137">
        <v>0.94299999999999995</v>
      </c>
      <c r="G204" s="138">
        <v>320</v>
      </c>
      <c r="H204" s="136">
        <v>50</v>
      </c>
      <c r="I204" s="139">
        <v>6.4</v>
      </c>
      <c r="J204" s="135">
        <v>0.5</v>
      </c>
      <c r="K204" s="136" t="s">
        <v>535</v>
      </c>
      <c r="L204" s="137" t="s">
        <v>537</v>
      </c>
    </row>
    <row r="205" spans="1:12">
      <c r="A205" s="132">
        <v>2581</v>
      </c>
      <c r="B205" s="133" t="s">
        <v>286</v>
      </c>
      <c r="C205" s="134" t="s">
        <v>484</v>
      </c>
      <c r="D205" s="135">
        <v>32000</v>
      </c>
      <c r="E205" s="136">
        <v>1000</v>
      </c>
      <c r="F205" s="137">
        <v>32</v>
      </c>
      <c r="G205" s="140"/>
      <c r="H205" s="141"/>
      <c r="I205" s="139">
        <v>32</v>
      </c>
      <c r="J205" s="135">
        <v>0.05</v>
      </c>
      <c r="K205" s="136" t="s">
        <v>534</v>
      </c>
      <c r="L205" s="137" t="s">
        <v>540</v>
      </c>
    </row>
    <row r="206" spans="1:12">
      <c r="A206" s="132">
        <v>2582</v>
      </c>
      <c r="B206" s="133" t="s">
        <v>286</v>
      </c>
      <c r="C206" s="134" t="s">
        <v>485</v>
      </c>
      <c r="D206" s="135">
        <v>500</v>
      </c>
      <c r="E206" s="136">
        <v>1000</v>
      </c>
      <c r="F206" s="137">
        <v>0.5</v>
      </c>
      <c r="G206" s="140"/>
      <c r="H206" s="141"/>
      <c r="I206" s="139">
        <v>0.5</v>
      </c>
      <c r="J206" s="135">
        <v>0.05</v>
      </c>
      <c r="K206" s="136" t="s">
        <v>534</v>
      </c>
      <c r="L206" s="137" t="s">
        <v>537</v>
      </c>
    </row>
    <row r="207" spans="1:12">
      <c r="A207" s="132">
        <v>2583</v>
      </c>
      <c r="B207" s="133" t="s">
        <v>286</v>
      </c>
      <c r="C207" s="134" t="s">
        <v>486</v>
      </c>
      <c r="D207" s="135">
        <v>763</v>
      </c>
      <c r="E207" s="136">
        <v>1000</v>
      </c>
      <c r="F207" s="137">
        <v>0.76</v>
      </c>
      <c r="G207" s="140"/>
      <c r="H207" s="141"/>
      <c r="I207" s="139">
        <v>0.76</v>
      </c>
      <c r="J207" s="135">
        <v>0.05</v>
      </c>
      <c r="K207" s="136" t="s">
        <v>534</v>
      </c>
      <c r="L207" s="137" t="s">
        <v>537</v>
      </c>
    </row>
    <row r="208" spans="1:12">
      <c r="A208" s="132">
        <v>2584</v>
      </c>
      <c r="B208" s="133" t="s">
        <v>286</v>
      </c>
      <c r="C208" s="134" t="s">
        <v>487</v>
      </c>
      <c r="D208" s="135">
        <v>109</v>
      </c>
      <c r="E208" s="136">
        <v>1000</v>
      </c>
      <c r="F208" s="137">
        <v>0.109</v>
      </c>
      <c r="G208" s="138">
        <v>172.5</v>
      </c>
      <c r="H208" s="136">
        <v>50</v>
      </c>
      <c r="I208" s="139">
        <v>3.45</v>
      </c>
      <c r="J208" s="135">
        <v>0.05</v>
      </c>
      <c r="K208" s="136" t="s">
        <v>534</v>
      </c>
      <c r="L208" s="137" t="s">
        <v>537</v>
      </c>
    </row>
    <row r="209" spans="1:12">
      <c r="A209" s="132">
        <v>2585</v>
      </c>
      <c r="B209" s="133" t="s">
        <v>286</v>
      </c>
      <c r="C209" s="134" t="s">
        <v>488</v>
      </c>
      <c r="D209" s="135">
        <v>969</v>
      </c>
      <c r="E209" s="136">
        <v>1000</v>
      </c>
      <c r="F209" s="137">
        <v>0.96899999999999997</v>
      </c>
      <c r="G209" s="138">
        <v>0.5</v>
      </c>
      <c r="H209" s="136">
        <v>50</v>
      </c>
      <c r="I209" s="139">
        <v>0.01</v>
      </c>
      <c r="J209" s="135">
        <v>0.05</v>
      </c>
      <c r="K209" s="136" t="s">
        <v>534</v>
      </c>
      <c r="L209" s="137" t="s">
        <v>537</v>
      </c>
    </row>
    <row r="210" spans="1:12">
      <c r="A210" s="132">
        <v>2586</v>
      </c>
      <c r="B210" s="133" t="s">
        <v>286</v>
      </c>
      <c r="C210" s="134" t="s">
        <v>489</v>
      </c>
      <c r="D210" s="135">
        <v>841</v>
      </c>
      <c r="E210" s="136">
        <v>1000</v>
      </c>
      <c r="F210" s="137">
        <v>0.84099999999999997</v>
      </c>
      <c r="G210" s="140"/>
      <c r="H210" s="141"/>
      <c r="I210" s="139">
        <v>0.84099999999999997</v>
      </c>
      <c r="J210" s="135">
        <v>0.05</v>
      </c>
      <c r="K210" s="136" t="s">
        <v>534</v>
      </c>
      <c r="L210" s="137" t="s">
        <v>537</v>
      </c>
    </row>
    <row r="211" spans="1:12">
      <c r="A211" s="132">
        <v>2587</v>
      </c>
      <c r="B211" s="133" t="s">
        <v>286</v>
      </c>
      <c r="C211" s="134" t="s">
        <v>490</v>
      </c>
      <c r="D211" s="135">
        <v>1000</v>
      </c>
      <c r="E211" s="136">
        <v>5000</v>
      </c>
      <c r="F211" s="137">
        <v>0.2</v>
      </c>
      <c r="G211" s="140"/>
      <c r="H211" s="141"/>
      <c r="I211" s="139">
        <v>0.2</v>
      </c>
      <c r="J211" s="135">
        <v>0.5</v>
      </c>
      <c r="K211" s="136" t="s">
        <v>535</v>
      </c>
      <c r="L211" s="137" t="s">
        <v>537</v>
      </c>
    </row>
    <row r="212" spans="1:12">
      <c r="A212" s="132">
        <v>2588</v>
      </c>
      <c r="B212" s="133" t="s">
        <v>286</v>
      </c>
      <c r="C212" s="134" t="s">
        <v>491</v>
      </c>
      <c r="D212" s="135">
        <v>4400</v>
      </c>
      <c r="E212" s="136">
        <v>1000</v>
      </c>
      <c r="F212" s="137">
        <v>4.4000000000000004</v>
      </c>
      <c r="G212" s="140"/>
      <c r="H212" s="141"/>
      <c r="I212" s="139">
        <v>4.4000000000000004</v>
      </c>
      <c r="J212" s="135">
        <v>0.5</v>
      </c>
      <c r="K212" s="136" t="s">
        <v>535</v>
      </c>
      <c r="L212" s="137" t="s">
        <v>537</v>
      </c>
    </row>
    <row r="213" spans="1:12">
      <c r="A213" s="132">
        <v>2589</v>
      </c>
      <c r="B213" s="133" t="s">
        <v>286</v>
      </c>
      <c r="C213" s="134" t="s">
        <v>492</v>
      </c>
      <c r="D213" s="135">
        <v>1.8</v>
      </c>
      <c r="E213" s="136">
        <v>1000</v>
      </c>
      <c r="F213" s="137">
        <v>1.8E-3</v>
      </c>
      <c r="G213" s="140"/>
      <c r="H213" s="141"/>
      <c r="I213" s="139">
        <v>1.8E-3</v>
      </c>
      <c r="J213" s="135">
        <v>0.05</v>
      </c>
      <c r="K213" s="136" t="s">
        <v>534</v>
      </c>
      <c r="L213" s="137" t="s">
        <v>537</v>
      </c>
    </row>
    <row r="214" spans="1:12">
      <c r="A214" s="132">
        <v>2590</v>
      </c>
      <c r="B214" s="133" t="s">
        <v>286</v>
      </c>
      <c r="C214" s="134" t="s">
        <v>493</v>
      </c>
      <c r="D214" s="135">
        <v>100</v>
      </c>
      <c r="E214" s="136">
        <v>5000</v>
      </c>
      <c r="F214" s="137">
        <v>0.02</v>
      </c>
      <c r="G214" s="140"/>
      <c r="H214" s="141"/>
      <c r="I214" s="139">
        <v>0.02</v>
      </c>
      <c r="J214" s="135">
        <v>0.5</v>
      </c>
      <c r="K214" s="136" t="s">
        <v>535</v>
      </c>
      <c r="L214" s="137" t="s">
        <v>537</v>
      </c>
    </row>
    <row r="215" spans="1:12">
      <c r="A215" s="132">
        <v>2591</v>
      </c>
      <c r="B215" s="133" t="s">
        <v>286</v>
      </c>
      <c r="C215" s="134" t="s">
        <v>494</v>
      </c>
      <c r="D215" s="135">
        <v>10000</v>
      </c>
      <c r="E215" s="136">
        <v>10000</v>
      </c>
      <c r="F215" s="137">
        <v>1</v>
      </c>
      <c r="G215" s="140"/>
      <c r="H215" s="141"/>
      <c r="I215" s="139">
        <v>1</v>
      </c>
      <c r="J215" s="135">
        <v>0.05</v>
      </c>
      <c r="K215" s="136" t="s">
        <v>534</v>
      </c>
      <c r="L215" s="137" t="s">
        <v>537</v>
      </c>
    </row>
    <row r="216" spans="1:12">
      <c r="A216" s="132">
        <v>2592</v>
      </c>
      <c r="B216" s="133" t="s">
        <v>286</v>
      </c>
      <c r="C216" s="134" t="s">
        <v>495</v>
      </c>
      <c r="D216" s="135">
        <v>100</v>
      </c>
      <c r="E216" s="136">
        <v>1000</v>
      </c>
      <c r="F216" s="137">
        <v>0.1</v>
      </c>
      <c r="G216" s="138">
        <v>100</v>
      </c>
      <c r="H216" s="136">
        <v>50</v>
      </c>
      <c r="I216" s="139">
        <v>2</v>
      </c>
      <c r="J216" s="135">
        <v>0.05</v>
      </c>
      <c r="K216" s="136" t="s">
        <v>534</v>
      </c>
      <c r="L216" s="137" t="s">
        <v>540</v>
      </c>
    </row>
    <row r="217" spans="1:12">
      <c r="A217" s="132">
        <v>2593</v>
      </c>
      <c r="B217" s="133" t="s">
        <v>286</v>
      </c>
      <c r="C217" s="134" t="s">
        <v>496</v>
      </c>
      <c r="D217" s="135">
        <v>209</v>
      </c>
      <c r="E217" s="136">
        <v>5000</v>
      </c>
      <c r="F217" s="137">
        <v>4.1799999999999997E-2</v>
      </c>
      <c r="G217" s="140"/>
      <c r="H217" s="141"/>
      <c r="I217" s="139">
        <v>4.1799999999999997E-2</v>
      </c>
      <c r="J217" s="135">
        <v>1</v>
      </c>
      <c r="K217" s="136" t="s">
        <v>536</v>
      </c>
      <c r="L217" s="137" t="s">
        <v>537</v>
      </c>
    </row>
    <row r="218" spans="1:12">
      <c r="A218" s="132">
        <v>2594</v>
      </c>
      <c r="B218" s="133" t="s">
        <v>286</v>
      </c>
      <c r="C218" s="134" t="s">
        <v>497</v>
      </c>
      <c r="D218" s="135">
        <v>188</v>
      </c>
      <c r="E218" s="136">
        <v>5000</v>
      </c>
      <c r="F218" s="137">
        <v>3.7600000000000001E-2</v>
      </c>
      <c r="G218" s="140"/>
      <c r="H218" s="141"/>
      <c r="I218" s="139">
        <v>3.7600000000000001E-2</v>
      </c>
      <c r="J218" s="135">
        <v>1</v>
      </c>
      <c r="K218" s="136" t="s">
        <v>536</v>
      </c>
      <c r="L218" s="137" t="s">
        <v>537</v>
      </c>
    </row>
    <row r="219" spans="1:12">
      <c r="A219" s="132">
        <v>2595</v>
      </c>
      <c r="B219" s="133" t="s">
        <v>286</v>
      </c>
      <c r="C219" s="134" t="s">
        <v>498</v>
      </c>
      <c r="D219" s="135">
        <v>600</v>
      </c>
      <c r="E219" s="136">
        <v>1000</v>
      </c>
      <c r="F219" s="137">
        <v>0.6</v>
      </c>
      <c r="G219" s="138">
        <v>12.5</v>
      </c>
      <c r="H219" s="136">
        <v>50</v>
      </c>
      <c r="I219" s="139">
        <v>0.25</v>
      </c>
      <c r="J219" s="135">
        <v>0.05</v>
      </c>
      <c r="K219" s="136" t="s">
        <v>534</v>
      </c>
      <c r="L219" s="137" t="s">
        <v>537</v>
      </c>
    </row>
    <row r="220" spans="1:12">
      <c r="A220" s="132">
        <v>2596</v>
      </c>
      <c r="B220" s="133" t="s">
        <v>286</v>
      </c>
      <c r="C220" s="134" t="s">
        <v>499</v>
      </c>
      <c r="D220" s="135">
        <v>490</v>
      </c>
      <c r="E220" s="136">
        <v>1000</v>
      </c>
      <c r="F220" s="137">
        <v>0.49</v>
      </c>
      <c r="G220" s="140"/>
      <c r="H220" s="141"/>
      <c r="I220" s="139">
        <v>0.49</v>
      </c>
      <c r="J220" s="135">
        <v>0.05</v>
      </c>
      <c r="K220" s="136" t="s">
        <v>534</v>
      </c>
      <c r="L220" s="137" t="s">
        <v>537</v>
      </c>
    </row>
    <row r="221" spans="1:12">
      <c r="A221" s="132">
        <v>2597</v>
      </c>
      <c r="B221" s="133" t="s">
        <v>286</v>
      </c>
      <c r="C221" s="134" t="s">
        <v>500</v>
      </c>
      <c r="D221" s="135">
        <v>18</v>
      </c>
      <c r="E221" s="136">
        <v>1000</v>
      </c>
      <c r="F221" s="137">
        <v>1.7999999999999999E-2</v>
      </c>
      <c r="G221" s="138">
        <v>3.3</v>
      </c>
      <c r="H221" s="136">
        <v>100</v>
      </c>
      <c r="I221" s="139">
        <v>3.3000000000000002E-2</v>
      </c>
      <c r="J221" s="135">
        <v>0.05</v>
      </c>
      <c r="K221" s="136" t="s">
        <v>534</v>
      </c>
      <c r="L221" s="137" t="s">
        <v>537</v>
      </c>
    </row>
    <row r="222" spans="1:12">
      <c r="A222" s="132">
        <v>2598</v>
      </c>
      <c r="B222" s="133" t="s">
        <v>286</v>
      </c>
      <c r="C222" s="134" t="s">
        <v>501</v>
      </c>
      <c r="D222" s="135">
        <v>75</v>
      </c>
      <c r="E222" s="136">
        <v>1000</v>
      </c>
      <c r="F222" s="137">
        <v>7.4999999999999997E-2</v>
      </c>
      <c r="G222" s="138">
        <v>5.6</v>
      </c>
      <c r="H222" s="136">
        <v>50</v>
      </c>
      <c r="I222" s="139">
        <v>0.112</v>
      </c>
      <c r="J222" s="135">
        <v>1</v>
      </c>
      <c r="K222" s="136" t="s">
        <v>536</v>
      </c>
      <c r="L222" s="137" t="s">
        <v>537</v>
      </c>
    </row>
    <row r="223" spans="1:12">
      <c r="A223" s="132">
        <v>2599</v>
      </c>
      <c r="B223" s="133" t="s">
        <v>286</v>
      </c>
      <c r="C223" s="134" t="s">
        <v>502</v>
      </c>
      <c r="D223" s="135">
        <v>100</v>
      </c>
      <c r="E223" s="136">
        <v>1000</v>
      </c>
      <c r="F223" s="137">
        <v>0.1</v>
      </c>
      <c r="G223" s="138">
        <v>120</v>
      </c>
      <c r="H223" s="136">
        <v>100</v>
      </c>
      <c r="I223" s="139">
        <v>1.2</v>
      </c>
      <c r="J223" s="135">
        <v>0.5</v>
      </c>
      <c r="K223" s="136" t="s">
        <v>535</v>
      </c>
      <c r="L223" s="137" t="s">
        <v>537</v>
      </c>
    </row>
    <row r="224" spans="1:12">
      <c r="A224" s="132">
        <v>2600</v>
      </c>
      <c r="B224" s="133" t="s">
        <v>286</v>
      </c>
      <c r="C224" s="134" t="s">
        <v>503</v>
      </c>
      <c r="D224" s="135">
        <v>120</v>
      </c>
      <c r="E224" s="136">
        <v>1000</v>
      </c>
      <c r="F224" s="137">
        <v>0.12</v>
      </c>
      <c r="G224" s="138">
        <v>120</v>
      </c>
      <c r="H224" s="136">
        <v>100</v>
      </c>
      <c r="I224" s="139">
        <v>1.2</v>
      </c>
      <c r="J224" s="135">
        <v>1</v>
      </c>
      <c r="K224" s="136" t="s">
        <v>536</v>
      </c>
      <c r="L224" s="137" t="s">
        <v>537</v>
      </c>
    </row>
    <row r="225" spans="1:12">
      <c r="A225" s="132">
        <v>2601</v>
      </c>
      <c r="B225" s="133" t="s">
        <v>286</v>
      </c>
      <c r="C225" s="134" t="s">
        <v>504</v>
      </c>
      <c r="D225" s="135">
        <v>120</v>
      </c>
      <c r="E225" s="136">
        <v>1000</v>
      </c>
      <c r="F225" s="137">
        <v>0.12</v>
      </c>
      <c r="G225" s="138">
        <v>120</v>
      </c>
      <c r="H225" s="136">
        <v>100</v>
      </c>
      <c r="I225" s="139">
        <v>1.2</v>
      </c>
      <c r="J225" s="135">
        <v>0.5</v>
      </c>
      <c r="K225" s="136" t="s">
        <v>535</v>
      </c>
      <c r="L225" s="137" t="s">
        <v>537</v>
      </c>
    </row>
    <row r="226" spans="1:12">
      <c r="A226" s="132">
        <v>2602</v>
      </c>
      <c r="B226" s="133" t="s">
        <v>286</v>
      </c>
      <c r="C226" s="134" t="s">
        <v>505</v>
      </c>
      <c r="D226" s="135">
        <v>38</v>
      </c>
      <c r="E226" s="136">
        <v>1000</v>
      </c>
      <c r="F226" s="137">
        <v>3.7999999999999999E-2</v>
      </c>
      <c r="G226" s="140"/>
      <c r="H226" s="141"/>
      <c r="I226" s="139">
        <v>3.7999999999999999E-2</v>
      </c>
      <c r="J226" s="135">
        <v>1</v>
      </c>
      <c r="K226" s="136" t="s">
        <v>536</v>
      </c>
      <c r="L226" s="137" t="s">
        <v>537</v>
      </c>
    </row>
    <row r="227" spans="1:12">
      <c r="A227" s="132">
        <v>2603</v>
      </c>
      <c r="B227" s="133" t="s">
        <v>286</v>
      </c>
      <c r="C227" s="134" t="s">
        <v>506</v>
      </c>
      <c r="D227" s="135">
        <v>100</v>
      </c>
      <c r="E227" s="136">
        <v>5000</v>
      </c>
      <c r="F227" s="137">
        <v>0.02</v>
      </c>
      <c r="G227" s="140"/>
      <c r="H227" s="141"/>
      <c r="I227" s="139">
        <v>0.02</v>
      </c>
      <c r="J227" s="135">
        <v>1</v>
      </c>
      <c r="K227" s="136" t="s">
        <v>536</v>
      </c>
      <c r="L227" s="137" t="s">
        <v>539</v>
      </c>
    </row>
    <row r="228" spans="1:12">
      <c r="A228" s="132">
        <v>2604</v>
      </c>
      <c r="B228" s="133" t="s">
        <v>286</v>
      </c>
      <c r="C228" s="134" t="s">
        <v>507</v>
      </c>
      <c r="D228" s="135">
        <v>13</v>
      </c>
      <c r="E228" s="136">
        <v>5000</v>
      </c>
      <c r="F228" s="137">
        <v>2.5999999999999999E-3</v>
      </c>
      <c r="G228" s="140"/>
      <c r="H228" s="141"/>
      <c r="I228" s="139">
        <v>2.5999999999999999E-3</v>
      </c>
      <c r="J228" s="135">
        <v>1</v>
      </c>
      <c r="K228" s="136" t="s">
        <v>537</v>
      </c>
      <c r="L228" s="137" t="s">
        <v>537</v>
      </c>
    </row>
    <row r="229" spans="1:12">
      <c r="A229" s="132">
        <v>2605</v>
      </c>
      <c r="B229" s="133" t="s">
        <v>286</v>
      </c>
      <c r="C229" s="134" t="s">
        <v>508</v>
      </c>
      <c r="D229" s="135">
        <v>40.700000000000003</v>
      </c>
      <c r="E229" s="136">
        <v>1000</v>
      </c>
      <c r="F229" s="137">
        <v>4.07E-2</v>
      </c>
      <c r="G229" s="140"/>
      <c r="H229" s="141"/>
      <c r="I229" s="139">
        <v>4.07E-2</v>
      </c>
      <c r="J229" s="135">
        <v>0.05</v>
      </c>
      <c r="K229" s="136" t="s">
        <v>534</v>
      </c>
      <c r="L229" s="137" t="s">
        <v>537</v>
      </c>
    </row>
    <row r="230" spans="1:12">
      <c r="A230" s="132">
        <v>2606</v>
      </c>
      <c r="B230" s="133" t="s">
        <v>286</v>
      </c>
      <c r="C230" s="134" t="s">
        <v>509</v>
      </c>
      <c r="D230" s="135">
        <v>528</v>
      </c>
      <c r="E230" s="136">
        <v>1000</v>
      </c>
      <c r="F230" s="137">
        <v>0.52800000000000002</v>
      </c>
      <c r="G230" s="140"/>
      <c r="H230" s="141"/>
      <c r="I230" s="139">
        <v>0.52800000000000002</v>
      </c>
      <c r="J230" s="135">
        <v>0.05</v>
      </c>
      <c r="K230" s="136" t="s">
        <v>534</v>
      </c>
      <c r="L230" s="137" t="s">
        <v>539</v>
      </c>
    </row>
    <row r="231" spans="1:12">
      <c r="A231" s="132">
        <v>2607</v>
      </c>
      <c r="B231" s="133" t="s">
        <v>286</v>
      </c>
      <c r="C231" s="134" t="s">
        <v>510</v>
      </c>
      <c r="D231" s="135">
        <v>39</v>
      </c>
      <c r="E231" s="136">
        <v>1000</v>
      </c>
      <c r="F231" s="137">
        <v>3.9E-2</v>
      </c>
      <c r="G231" s="138">
        <v>4.3</v>
      </c>
      <c r="H231" s="136">
        <v>100</v>
      </c>
      <c r="I231" s="139">
        <v>4.2999999999999997E-2</v>
      </c>
      <c r="J231" s="135">
        <v>0.5</v>
      </c>
      <c r="K231" s="136" t="s">
        <v>535</v>
      </c>
      <c r="L231" s="137" t="s">
        <v>537</v>
      </c>
    </row>
    <row r="232" spans="1:12">
      <c r="A232" s="132">
        <v>2608</v>
      </c>
      <c r="B232" s="133" t="s">
        <v>286</v>
      </c>
      <c r="C232" s="134" t="s">
        <v>511</v>
      </c>
      <c r="D232" s="135">
        <v>100</v>
      </c>
      <c r="E232" s="136">
        <v>1000</v>
      </c>
      <c r="F232" s="137">
        <v>0.1</v>
      </c>
      <c r="G232" s="138">
        <v>100</v>
      </c>
      <c r="H232" s="136">
        <v>10</v>
      </c>
      <c r="I232" s="139">
        <v>10</v>
      </c>
      <c r="J232" s="135">
        <v>0.05</v>
      </c>
      <c r="K232" s="136" t="s">
        <v>534</v>
      </c>
      <c r="L232" s="137" t="s">
        <v>540</v>
      </c>
    </row>
    <row r="233" spans="1:12">
      <c r="A233" s="132">
        <v>2609</v>
      </c>
      <c r="B233" s="133" t="s">
        <v>286</v>
      </c>
      <c r="C233" s="134" t="s">
        <v>512</v>
      </c>
      <c r="D233" s="135">
        <v>100</v>
      </c>
      <c r="E233" s="136">
        <v>1000</v>
      </c>
      <c r="F233" s="137">
        <v>0.1</v>
      </c>
      <c r="G233" s="138">
        <v>100</v>
      </c>
      <c r="H233" s="136">
        <v>50</v>
      </c>
      <c r="I233" s="139">
        <v>2</v>
      </c>
      <c r="J233" s="135">
        <v>1</v>
      </c>
      <c r="K233" s="136" t="s">
        <v>536</v>
      </c>
      <c r="L233" s="137" t="s">
        <v>537</v>
      </c>
    </row>
    <row r="234" spans="1:12">
      <c r="A234" s="132">
        <v>2610</v>
      </c>
      <c r="B234" s="133" t="s">
        <v>286</v>
      </c>
      <c r="C234" s="134" t="s">
        <v>513</v>
      </c>
      <c r="D234" s="135">
        <v>100</v>
      </c>
      <c r="E234" s="136">
        <v>1000</v>
      </c>
      <c r="F234" s="137">
        <v>0.1</v>
      </c>
      <c r="G234" s="140"/>
      <c r="H234" s="141"/>
      <c r="I234" s="139">
        <v>0.1</v>
      </c>
      <c r="J234" s="135">
        <v>0.05</v>
      </c>
      <c r="K234" s="136" t="s">
        <v>534</v>
      </c>
      <c r="L234" s="137" t="s">
        <v>537</v>
      </c>
    </row>
    <row r="235" spans="1:12">
      <c r="A235" s="132">
        <v>2611</v>
      </c>
      <c r="B235" s="133" t="s">
        <v>286</v>
      </c>
      <c r="C235" s="134" t="s">
        <v>514</v>
      </c>
      <c r="D235" s="135">
        <v>100</v>
      </c>
      <c r="E235" s="136">
        <v>1000</v>
      </c>
      <c r="F235" s="137">
        <v>0.1</v>
      </c>
      <c r="G235" s="140"/>
      <c r="H235" s="141"/>
      <c r="I235" s="139">
        <v>0.1</v>
      </c>
      <c r="J235" s="135">
        <v>1</v>
      </c>
      <c r="K235" s="136" t="s">
        <v>536</v>
      </c>
      <c r="L235" s="137" t="s">
        <v>537</v>
      </c>
    </row>
    <row r="236" spans="1:12">
      <c r="A236" s="132">
        <v>2612</v>
      </c>
      <c r="B236" s="133" t="s">
        <v>286</v>
      </c>
      <c r="C236" s="134" t="s">
        <v>515</v>
      </c>
      <c r="D236" s="135">
        <v>100</v>
      </c>
      <c r="E236" s="136">
        <v>1000</v>
      </c>
      <c r="F236" s="137">
        <v>0.1</v>
      </c>
      <c r="G236" s="140"/>
      <c r="H236" s="141"/>
      <c r="I236" s="139">
        <v>0.1</v>
      </c>
      <c r="J236" s="135">
        <v>1</v>
      </c>
      <c r="K236" s="136" t="s">
        <v>536</v>
      </c>
      <c r="L236" s="137" t="s">
        <v>537</v>
      </c>
    </row>
    <row r="237" spans="1:12">
      <c r="A237" s="132">
        <v>2613</v>
      </c>
      <c r="B237" s="133" t="s">
        <v>286</v>
      </c>
      <c r="C237" s="134" t="s">
        <v>516</v>
      </c>
      <c r="D237" s="135">
        <v>100</v>
      </c>
      <c r="E237" s="136">
        <v>1000</v>
      </c>
      <c r="F237" s="137">
        <v>0.1</v>
      </c>
      <c r="G237" s="140"/>
      <c r="H237" s="141"/>
      <c r="I237" s="139">
        <v>0.1</v>
      </c>
      <c r="J237" s="135">
        <v>1</v>
      </c>
      <c r="K237" s="136" t="s">
        <v>536</v>
      </c>
      <c r="L237" s="137" t="s">
        <v>537</v>
      </c>
    </row>
    <row r="238" spans="1:12">
      <c r="A238" s="132">
        <v>2614</v>
      </c>
      <c r="B238" s="133" t="s">
        <v>286</v>
      </c>
      <c r="C238" s="134" t="s">
        <v>517</v>
      </c>
      <c r="D238" s="135">
        <v>100</v>
      </c>
      <c r="E238" s="136">
        <v>1000</v>
      </c>
      <c r="F238" s="137">
        <v>0.1</v>
      </c>
      <c r="G238" s="140"/>
      <c r="H238" s="141"/>
      <c r="I238" s="139">
        <v>0.1</v>
      </c>
      <c r="J238" s="135">
        <v>1</v>
      </c>
      <c r="K238" s="136" t="s">
        <v>536</v>
      </c>
      <c r="L238" s="137" t="s">
        <v>537</v>
      </c>
    </row>
    <row r="239" spans="1:12">
      <c r="A239" s="132">
        <v>2615</v>
      </c>
      <c r="B239" s="133" t="s">
        <v>286</v>
      </c>
      <c r="C239" s="134" t="s">
        <v>518</v>
      </c>
      <c r="D239" s="135">
        <v>0.59</v>
      </c>
      <c r="E239" s="136">
        <v>5000</v>
      </c>
      <c r="F239" s="137">
        <v>1.18E-4</v>
      </c>
      <c r="G239" s="140"/>
      <c r="H239" s="141"/>
      <c r="I239" s="139">
        <v>1.18E-4</v>
      </c>
      <c r="J239" s="135">
        <v>0.05</v>
      </c>
      <c r="K239" s="136" t="s">
        <v>534</v>
      </c>
      <c r="L239" s="137" t="s">
        <v>537</v>
      </c>
    </row>
    <row r="240" spans="1:12">
      <c r="A240" s="132">
        <v>2616</v>
      </c>
      <c r="B240" s="133" t="s">
        <v>286</v>
      </c>
      <c r="C240" s="134" t="s">
        <v>519</v>
      </c>
      <c r="D240" s="135">
        <v>7.4</v>
      </c>
      <c r="E240" s="136">
        <v>1000</v>
      </c>
      <c r="F240" s="137">
        <v>7.4000000000000003E-3</v>
      </c>
      <c r="G240" s="140"/>
      <c r="H240" s="141"/>
      <c r="I240" s="139">
        <v>7.4000000000000003E-3</v>
      </c>
      <c r="J240" s="135">
        <v>0.05</v>
      </c>
      <c r="K240" s="136" t="s">
        <v>534</v>
      </c>
      <c r="L240" s="137" t="s">
        <v>537</v>
      </c>
    </row>
    <row r="241" spans="1:12">
      <c r="A241" s="132">
        <v>2617</v>
      </c>
      <c r="B241" s="133" t="s">
        <v>286</v>
      </c>
      <c r="C241" s="134" t="s">
        <v>520</v>
      </c>
      <c r="D241" s="135">
        <v>100</v>
      </c>
      <c r="E241" s="136">
        <v>5000</v>
      </c>
      <c r="F241" s="137">
        <v>0.02</v>
      </c>
      <c r="G241" s="140"/>
      <c r="H241" s="141"/>
      <c r="I241" s="139">
        <v>0.02</v>
      </c>
      <c r="J241" s="135">
        <v>0.05</v>
      </c>
      <c r="K241" s="136" t="s">
        <v>534</v>
      </c>
      <c r="L241" s="137" t="s">
        <v>537</v>
      </c>
    </row>
    <row r="242" spans="1:12">
      <c r="A242" s="132">
        <v>2618</v>
      </c>
      <c r="B242" s="133" t="s">
        <v>286</v>
      </c>
      <c r="C242" s="134" t="s">
        <v>521</v>
      </c>
      <c r="D242" s="135">
        <v>100</v>
      </c>
      <c r="E242" s="136">
        <v>1000</v>
      </c>
      <c r="F242" s="137">
        <v>0.1</v>
      </c>
      <c r="G242" s="140"/>
      <c r="H242" s="141"/>
      <c r="I242" s="139">
        <v>0.1</v>
      </c>
      <c r="J242" s="135">
        <v>0.05</v>
      </c>
      <c r="K242" s="136" t="s">
        <v>534</v>
      </c>
      <c r="L242" s="137" t="s">
        <v>537</v>
      </c>
    </row>
    <row r="243" spans="1:12">
      <c r="A243" s="132">
        <v>2619</v>
      </c>
      <c r="B243" s="133" t="s">
        <v>286</v>
      </c>
      <c r="C243" s="134" t="s">
        <v>522</v>
      </c>
      <c r="D243" s="135">
        <v>2.2000000000000002</v>
      </c>
      <c r="E243" s="136">
        <v>1000</v>
      </c>
      <c r="F243" s="137">
        <v>2.2000000000000001E-3</v>
      </c>
      <c r="G243" s="140"/>
      <c r="H243" s="141"/>
      <c r="I243" s="139">
        <v>2.2000000000000001E-3</v>
      </c>
      <c r="J243" s="135">
        <v>0.05</v>
      </c>
      <c r="K243" s="136" t="s">
        <v>534</v>
      </c>
      <c r="L243" s="137" t="s">
        <v>540</v>
      </c>
    </row>
    <row r="244" spans="1:12">
      <c r="A244" s="132">
        <v>2620</v>
      </c>
      <c r="B244" s="133" t="s">
        <v>286</v>
      </c>
      <c r="C244" s="134" t="s">
        <v>523</v>
      </c>
      <c r="D244" s="135">
        <v>100</v>
      </c>
      <c r="E244" s="136">
        <v>1000</v>
      </c>
      <c r="F244" s="137">
        <v>0.1</v>
      </c>
      <c r="G244" s="138">
        <v>100</v>
      </c>
      <c r="H244" s="136">
        <v>50</v>
      </c>
      <c r="I244" s="139">
        <v>2</v>
      </c>
      <c r="J244" s="135">
        <v>0.05</v>
      </c>
      <c r="K244" s="136" t="s">
        <v>534</v>
      </c>
      <c r="L244" s="137" t="s">
        <v>537</v>
      </c>
    </row>
    <row r="245" spans="1:12" ht="13.8" thickBot="1">
      <c r="A245" s="144">
        <v>2621</v>
      </c>
      <c r="B245" s="145" t="s">
        <v>286</v>
      </c>
      <c r="C245" s="146" t="s">
        <v>524</v>
      </c>
      <c r="D245" s="147">
        <v>100</v>
      </c>
      <c r="E245" s="148">
        <v>1000</v>
      </c>
      <c r="F245" s="149">
        <v>0.1</v>
      </c>
      <c r="G245" s="154"/>
      <c r="H245" s="155"/>
      <c r="I245" s="151">
        <v>0.1</v>
      </c>
      <c r="J245" s="147">
        <v>1</v>
      </c>
      <c r="K245" s="148" t="s">
        <v>536</v>
      </c>
      <c r="L245" s="149" t="s">
        <v>539</v>
      </c>
    </row>
  </sheetData>
  <sheetProtection algorithmName="SHA-512" hashValue="UTFwUCfSTIjzM+Mr75B7W+BNiEa4lZUdq60MzK678HIHoGOytmlOaYOBL3amiTVH+XrT5niQY4wCC62McyJ7NQ==" saltValue="xOlbX9V6ZL90ebNVfEP8Jg==" spinCount="100000" sheet="1" objects="1" scenarios="1"/>
  <mergeCells count="13">
    <mergeCell ref="A4:C4"/>
    <mergeCell ref="D4:F4"/>
    <mergeCell ref="G4:I4"/>
    <mergeCell ref="J4:L4"/>
    <mergeCell ref="L5:L7"/>
    <mergeCell ref="G5:G7"/>
    <mergeCell ref="D5:D7"/>
    <mergeCell ref="E5:E7"/>
    <mergeCell ref="F5:F7"/>
    <mergeCell ref="J5:J7"/>
    <mergeCell ref="K5:K7"/>
    <mergeCell ref="I5:I7"/>
    <mergeCell ref="H5:H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7"/>
  <dimension ref="A2:K72"/>
  <sheetViews>
    <sheetView zoomScaleNormal="100" workbookViewId="0">
      <selection activeCell="H21" sqref="H21"/>
    </sheetView>
  </sheetViews>
  <sheetFormatPr defaultColWidth="11.44140625" defaultRowHeight="13.2"/>
  <cols>
    <col min="1" max="1" width="3.44140625" style="1" customWidth="1"/>
    <col min="2" max="2" width="4.5546875" style="1" customWidth="1"/>
    <col min="3" max="7" width="11.44140625" style="1"/>
    <col min="8" max="9" width="12.5546875" style="1" customWidth="1"/>
    <col min="10" max="16384" width="11.44140625" style="1"/>
  </cols>
  <sheetData>
    <row r="2" spans="1:11" ht="21">
      <c r="A2" s="105" t="s">
        <v>541</v>
      </c>
    </row>
    <row r="4" spans="1:11" ht="13.8">
      <c r="B4" s="106" t="s">
        <v>542</v>
      </c>
      <c r="C4" s="48"/>
      <c r="D4" s="48"/>
      <c r="E4" s="48"/>
      <c r="F4" s="48"/>
      <c r="G4" s="48"/>
      <c r="H4" s="48"/>
      <c r="I4" s="48"/>
      <c r="J4" s="48"/>
      <c r="K4" s="48"/>
    </row>
    <row r="5" spans="1:11" ht="12.75" customHeight="1">
      <c r="B5" s="374" t="s">
        <v>543</v>
      </c>
      <c r="C5" s="374"/>
      <c r="D5" s="374"/>
      <c r="E5" s="374"/>
      <c r="F5" s="374"/>
      <c r="G5" s="374"/>
      <c r="H5" s="374"/>
      <c r="I5" s="374"/>
      <c r="J5" s="374"/>
      <c r="K5" s="374"/>
    </row>
    <row r="6" spans="1:11">
      <c r="B6" s="374"/>
      <c r="C6" s="374"/>
      <c r="D6" s="374"/>
      <c r="E6" s="374"/>
      <c r="F6" s="374"/>
      <c r="G6" s="374"/>
      <c r="H6" s="374"/>
      <c r="I6" s="374"/>
      <c r="J6" s="374"/>
      <c r="K6" s="374"/>
    </row>
    <row r="8" spans="1:11">
      <c r="B8" s="54" t="s">
        <v>544</v>
      </c>
    </row>
    <row r="10" spans="1:11">
      <c r="B10" s="107" t="s">
        <v>545</v>
      </c>
      <c r="C10" s="48"/>
      <c r="D10" s="48"/>
      <c r="E10" s="48"/>
      <c r="F10" s="48"/>
      <c r="G10" s="48"/>
      <c r="H10" s="48"/>
      <c r="I10" s="48"/>
      <c r="J10" s="48"/>
      <c r="K10" s="48"/>
    </row>
    <row r="11" spans="1:11" ht="25.5" customHeight="1">
      <c r="B11" s="372" t="s">
        <v>546</v>
      </c>
      <c r="C11" s="372"/>
      <c r="D11" s="372"/>
      <c r="E11" s="372"/>
      <c r="F11" s="372"/>
      <c r="G11" s="372"/>
      <c r="H11" s="372"/>
      <c r="I11" s="372"/>
      <c r="J11" s="372"/>
      <c r="K11" s="372"/>
    </row>
    <row r="13" spans="1:11">
      <c r="B13" s="54" t="s">
        <v>547</v>
      </c>
    </row>
    <row r="14" spans="1:11" ht="39" customHeight="1">
      <c r="B14" s="108" t="s">
        <v>257</v>
      </c>
      <c r="C14" s="363" t="s">
        <v>560</v>
      </c>
      <c r="D14" s="363"/>
      <c r="E14" s="363"/>
      <c r="F14" s="363"/>
      <c r="G14" s="363"/>
      <c r="H14" s="363"/>
      <c r="I14" s="363"/>
      <c r="J14" s="363"/>
      <c r="K14" s="363"/>
    </row>
    <row r="15" spans="1:11">
      <c r="B15" s="108" t="s">
        <v>257</v>
      </c>
      <c r="C15" s="1" t="s">
        <v>561</v>
      </c>
    </row>
    <row r="16" spans="1:11" s="71" customFormat="1" ht="25.5" customHeight="1">
      <c r="B16" s="109" t="s">
        <v>257</v>
      </c>
      <c r="C16" s="363" t="s">
        <v>562</v>
      </c>
      <c r="D16" s="363"/>
      <c r="E16" s="363"/>
      <c r="F16" s="363"/>
      <c r="G16" s="363"/>
      <c r="H16" s="363"/>
      <c r="I16" s="363"/>
      <c r="J16" s="363"/>
      <c r="K16" s="363"/>
    </row>
    <row r="17" spans="2:11">
      <c r="B17" s="108" t="s">
        <v>257</v>
      </c>
      <c r="C17" s="1" t="s">
        <v>563</v>
      </c>
    </row>
    <row r="19" spans="2:11">
      <c r="B19" s="54" t="s">
        <v>548</v>
      </c>
    </row>
    <row r="20" spans="2:11" ht="38.25" customHeight="1">
      <c r="B20" s="108" t="s">
        <v>257</v>
      </c>
      <c r="C20" s="363" t="s">
        <v>564</v>
      </c>
      <c r="D20" s="363"/>
      <c r="E20" s="363"/>
      <c r="F20" s="363"/>
      <c r="G20" s="363"/>
      <c r="H20" s="363"/>
      <c r="I20" s="363"/>
      <c r="J20" s="363"/>
      <c r="K20" s="363"/>
    </row>
    <row r="21" spans="2:11">
      <c r="B21" s="108" t="s">
        <v>257</v>
      </c>
      <c r="C21" s="1" t="s">
        <v>561</v>
      </c>
    </row>
    <row r="22" spans="2:11">
      <c r="B22" s="108" t="s">
        <v>257</v>
      </c>
      <c r="C22" s="1" t="s">
        <v>565</v>
      </c>
    </row>
    <row r="23" spans="2:11">
      <c r="B23" s="108" t="s">
        <v>257</v>
      </c>
      <c r="C23" s="1" t="s">
        <v>565</v>
      </c>
    </row>
    <row r="25" spans="2:11">
      <c r="B25" s="107" t="s">
        <v>549</v>
      </c>
      <c r="C25" s="48"/>
      <c r="D25" s="48"/>
      <c r="E25" s="48"/>
      <c r="F25" s="48"/>
      <c r="G25" s="48"/>
      <c r="H25" s="48"/>
      <c r="I25" s="48"/>
      <c r="J25" s="48"/>
      <c r="K25" s="48"/>
    </row>
    <row r="26" spans="2:11" ht="26.25" customHeight="1">
      <c r="B26" s="443" t="s">
        <v>550</v>
      </c>
      <c r="C26" s="443"/>
      <c r="D26" s="443"/>
      <c r="E26" s="443"/>
      <c r="F26" s="443"/>
      <c r="G26" s="443"/>
      <c r="H26" s="443"/>
      <c r="I26" s="443"/>
      <c r="J26" s="443"/>
      <c r="K26" s="443"/>
    </row>
    <row r="28" spans="2:11" ht="39.6">
      <c r="C28" s="445" t="s">
        <v>566</v>
      </c>
      <c r="D28" s="445"/>
      <c r="E28" s="445"/>
      <c r="F28" s="445"/>
      <c r="G28" s="445"/>
      <c r="H28" s="110" t="s">
        <v>592</v>
      </c>
      <c r="I28" s="110" t="s">
        <v>593</v>
      </c>
    </row>
    <row r="29" spans="2:11" ht="12.75" customHeight="1">
      <c r="C29" s="442" t="s">
        <v>567</v>
      </c>
      <c r="D29" s="442"/>
      <c r="E29" s="442"/>
      <c r="F29" s="442"/>
      <c r="G29" s="442"/>
      <c r="H29" s="84">
        <v>10000</v>
      </c>
      <c r="I29" s="84" t="s">
        <v>594</v>
      </c>
    </row>
    <row r="30" spans="2:11" ht="25.5" customHeight="1">
      <c r="C30" s="442" t="s">
        <v>568</v>
      </c>
      <c r="D30" s="442"/>
      <c r="E30" s="442"/>
      <c r="F30" s="442"/>
      <c r="G30" s="442"/>
      <c r="H30" s="84">
        <v>5000</v>
      </c>
      <c r="I30" s="84" t="s">
        <v>595</v>
      </c>
    </row>
    <row r="31" spans="2:11" ht="26.25" customHeight="1">
      <c r="C31" s="442" t="s">
        <v>569</v>
      </c>
      <c r="D31" s="442"/>
      <c r="E31" s="442"/>
      <c r="F31" s="442"/>
      <c r="G31" s="442"/>
      <c r="H31" s="84">
        <v>1000</v>
      </c>
      <c r="I31" s="84" t="s">
        <v>596</v>
      </c>
    </row>
    <row r="32" spans="2:11" ht="12.75" customHeight="1">
      <c r="C32" s="442" t="s">
        <v>570</v>
      </c>
      <c r="D32" s="442"/>
      <c r="E32" s="442"/>
      <c r="F32" s="442"/>
      <c r="G32" s="442"/>
      <c r="H32" s="84">
        <v>100</v>
      </c>
      <c r="I32" s="84" t="s">
        <v>597</v>
      </c>
    </row>
    <row r="33" spans="2:11" ht="25.5" customHeight="1">
      <c r="C33" s="442" t="s">
        <v>571</v>
      </c>
      <c r="D33" s="442"/>
      <c r="E33" s="442"/>
      <c r="F33" s="442"/>
      <c r="G33" s="442"/>
      <c r="H33" s="84">
        <v>50</v>
      </c>
      <c r="I33" s="84" t="s">
        <v>598</v>
      </c>
    </row>
    <row r="34" spans="2:11" ht="25.5" customHeight="1">
      <c r="C34" s="442" t="s">
        <v>572</v>
      </c>
      <c r="D34" s="442"/>
      <c r="E34" s="442"/>
      <c r="F34" s="442"/>
      <c r="G34" s="442"/>
      <c r="H34" s="84">
        <v>10</v>
      </c>
      <c r="I34" s="84" t="s">
        <v>599</v>
      </c>
    </row>
    <row r="35" spans="2:11" ht="25.5" customHeight="1">
      <c r="C35" s="443" t="s">
        <v>573</v>
      </c>
      <c r="D35" s="443"/>
      <c r="E35" s="443"/>
      <c r="F35" s="443"/>
      <c r="G35" s="443"/>
      <c r="H35" s="443"/>
      <c r="I35" s="443"/>
    </row>
    <row r="37" spans="2:11">
      <c r="B37" s="107" t="s">
        <v>551</v>
      </c>
      <c r="C37" s="107"/>
      <c r="D37" s="107"/>
      <c r="E37" s="107"/>
      <c r="F37" s="107"/>
      <c r="G37" s="107"/>
      <c r="H37" s="107"/>
      <c r="I37" s="107"/>
      <c r="J37" s="107"/>
      <c r="K37" s="107"/>
    </row>
    <row r="38" spans="2:11">
      <c r="B38" s="1" t="s">
        <v>552</v>
      </c>
    </row>
    <row r="40" spans="2:11">
      <c r="C40" s="445" t="s">
        <v>574</v>
      </c>
      <c r="D40" s="445"/>
      <c r="E40" s="445"/>
      <c r="F40" s="445"/>
      <c r="G40" s="63" t="s">
        <v>591</v>
      </c>
    </row>
    <row r="41" spans="2:11">
      <c r="C41" s="444" t="s">
        <v>86</v>
      </c>
      <c r="D41" s="444"/>
      <c r="E41" s="444"/>
      <c r="F41" s="444"/>
      <c r="G41" s="111" t="s">
        <v>534</v>
      </c>
    </row>
    <row r="42" spans="2:11">
      <c r="C42" s="444" t="s">
        <v>575</v>
      </c>
      <c r="D42" s="444"/>
      <c r="E42" s="444"/>
      <c r="F42" s="444"/>
      <c r="G42" s="111" t="s">
        <v>535</v>
      </c>
    </row>
    <row r="43" spans="2:11">
      <c r="C43" s="444" t="s">
        <v>576</v>
      </c>
      <c r="D43" s="444"/>
      <c r="E43" s="444"/>
      <c r="F43" s="444"/>
      <c r="G43" s="111" t="s">
        <v>536</v>
      </c>
    </row>
    <row r="44" spans="2:11">
      <c r="C44" s="444" t="s">
        <v>577</v>
      </c>
      <c r="D44" s="444"/>
      <c r="E44" s="444"/>
      <c r="F44" s="444"/>
      <c r="G44" s="111" t="s">
        <v>537</v>
      </c>
    </row>
    <row r="46" spans="2:11" ht="25.5" customHeight="1">
      <c r="B46" s="374" t="s">
        <v>553</v>
      </c>
      <c r="C46" s="374"/>
      <c r="D46" s="374"/>
      <c r="E46" s="374"/>
      <c r="F46" s="374"/>
      <c r="G46" s="374"/>
      <c r="H46" s="374"/>
      <c r="I46" s="374"/>
      <c r="J46" s="374"/>
      <c r="K46" s="374"/>
    </row>
    <row r="48" spans="2:11">
      <c r="B48" s="107" t="s">
        <v>554</v>
      </c>
      <c r="C48" s="48"/>
      <c r="D48" s="48"/>
      <c r="E48" s="48"/>
      <c r="F48" s="48"/>
      <c r="G48" s="48"/>
      <c r="H48" s="48"/>
      <c r="I48" s="48"/>
      <c r="J48" s="48"/>
      <c r="K48" s="48"/>
    </row>
    <row r="49" spans="2:11">
      <c r="B49" s="1" t="s">
        <v>555</v>
      </c>
    </row>
    <row r="51" spans="2:11">
      <c r="C51" s="441" t="s">
        <v>574</v>
      </c>
      <c r="D51" s="441"/>
      <c r="E51" s="112" t="s">
        <v>591</v>
      </c>
    </row>
    <row r="52" spans="2:11">
      <c r="C52" s="444" t="s">
        <v>578</v>
      </c>
      <c r="D52" s="444"/>
      <c r="E52" s="111">
        <v>0.05</v>
      </c>
    </row>
    <row r="53" spans="2:11">
      <c r="C53" s="444" t="s">
        <v>579</v>
      </c>
      <c r="D53" s="444"/>
      <c r="E53" s="111">
        <v>0.15</v>
      </c>
    </row>
    <row r="54" spans="2:11">
      <c r="C54" s="444" t="s">
        <v>580</v>
      </c>
      <c r="D54" s="444"/>
      <c r="E54" s="111">
        <v>0.5</v>
      </c>
    </row>
    <row r="55" spans="2:11">
      <c r="C55" s="444" t="s">
        <v>581</v>
      </c>
      <c r="D55" s="444"/>
      <c r="E55" s="111">
        <v>1</v>
      </c>
    </row>
    <row r="56" spans="2:11" s="71" customFormat="1" ht="25.5" customHeight="1">
      <c r="C56" s="363" t="s">
        <v>582</v>
      </c>
      <c r="D56" s="363"/>
      <c r="E56" s="363"/>
      <c r="F56" s="363"/>
      <c r="G56" s="363"/>
      <c r="H56" s="363"/>
      <c r="I56" s="363"/>
      <c r="J56" s="363"/>
      <c r="K56" s="363"/>
    </row>
    <row r="57" spans="2:11" ht="38.25" customHeight="1">
      <c r="C57" s="363" t="s">
        <v>583</v>
      </c>
      <c r="D57" s="363"/>
      <c r="E57" s="363"/>
      <c r="F57" s="363"/>
      <c r="G57" s="363"/>
      <c r="H57" s="363"/>
      <c r="I57" s="363"/>
      <c r="J57" s="363"/>
      <c r="K57" s="363"/>
    </row>
    <row r="59" spans="2:11">
      <c r="B59" s="107" t="s">
        <v>556</v>
      </c>
      <c r="C59" s="107"/>
      <c r="D59" s="107"/>
      <c r="E59" s="107"/>
      <c r="F59" s="107"/>
      <c r="G59" s="107"/>
      <c r="H59" s="107"/>
      <c r="I59" s="107"/>
      <c r="J59" s="107"/>
      <c r="K59" s="107"/>
    </row>
    <row r="60" spans="2:11">
      <c r="B60" s="1" t="s">
        <v>552</v>
      </c>
    </row>
    <row r="61" spans="2:11">
      <c r="C61" s="441" t="s">
        <v>584</v>
      </c>
      <c r="D61" s="441"/>
      <c r="E61" s="441"/>
      <c r="F61" s="441"/>
      <c r="G61" s="63" t="s">
        <v>591</v>
      </c>
    </row>
    <row r="62" spans="2:11" ht="25.5" customHeight="1">
      <c r="C62" s="442" t="s">
        <v>585</v>
      </c>
      <c r="D62" s="442"/>
      <c r="E62" s="442"/>
      <c r="F62" s="442"/>
      <c r="G62" s="84" t="s">
        <v>539</v>
      </c>
    </row>
    <row r="63" spans="2:11" ht="39" customHeight="1">
      <c r="C63" s="442" t="s">
        <v>586</v>
      </c>
      <c r="D63" s="442"/>
      <c r="E63" s="442"/>
      <c r="F63" s="442"/>
      <c r="G63" s="84" t="s">
        <v>540</v>
      </c>
    </row>
    <row r="64" spans="2:11">
      <c r="C64" s="442" t="s">
        <v>587</v>
      </c>
      <c r="D64" s="442"/>
      <c r="E64" s="442"/>
      <c r="F64" s="442"/>
      <c r="G64" s="84">
        <v>0</v>
      </c>
    </row>
    <row r="66" spans="2:11" ht="25.5" customHeight="1">
      <c r="B66" s="363" t="s">
        <v>557</v>
      </c>
      <c r="C66" s="363"/>
      <c r="D66" s="363"/>
      <c r="E66" s="363"/>
      <c r="F66" s="363"/>
      <c r="G66" s="363"/>
      <c r="H66" s="363"/>
      <c r="I66" s="363"/>
      <c r="J66" s="363"/>
      <c r="K66" s="363"/>
    </row>
    <row r="67" spans="2:11">
      <c r="B67" s="113" t="s">
        <v>257</v>
      </c>
      <c r="C67" s="1" t="s">
        <v>588</v>
      </c>
    </row>
    <row r="68" spans="2:11">
      <c r="B68" s="113" t="s">
        <v>257</v>
      </c>
      <c r="C68" s="1" t="s">
        <v>589</v>
      </c>
    </row>
    <row r="69" spans="2:11">
      <c r="B69" s="113" t="s">
        <v>257</v>
      </c>
      <c r="C69" s="1" t="s">
        <v>590</v>
      </c>
    </row>
    <row r="71" spans="2:11">
      <c r="B71" s="107" t="s">
        <v>558</v>
      </c>
      <c r="C71" s="48"/>
      <c r="D71" s="48"/>
      <c r="E71" s="48"/>
      <c r="F71" s="48"/>
      <c r="G71" s="48"/>
      <c r="H71" s="48"/>
      <c r="I71" s="48"/>
      <c r="J71" s="48"/>
      <c r="K71" s="48"/>
    </row>
    <row r="72" spans="2:11">
      <c r="B72" s="1" t="s">
        <v>559</v>
      </c>
    </row>
  </sheetData>
  <sheetProtection algorithmName="SHA-512" hashValue="aIZyQM/CzmlfRgigliu60faFbKy7jiV9suDgeUju53nkXNWJmfczB0F6RSb2Od/Y2HWtbjqcnW/K820sDIFo+A==" saltValue="t8jbEPi6+Yc456vukRadDw==" spinCount="100000" sheet="1" objects="1" scenarios="1" selectLockedCells="1" selectUnlockedCells="1"/>
  <mergeCells count="32">
    <mergeCell ref="B5:K6"/>
    <mergeCell ref="B11:K11"/>
    <mergeCell ref="B26:K26"/>
    <mergeCell ref="C20:K20"/>
    <mergeCell ref="C14:K14"/>
    <mergeCell ref="C16:K16"/>
    <mergeCell ref="C56:K56"/>
    <mergeCell ref="C57:K57"/>
    <mergeCell ref="B46:K46"/>
    <mergeCell ref="C40:F40"/>
    <mergeCell ref="C41:F41"/>
    <mergeCell ref="C42:F42"/>
    <mergeCell ref="C43:F43"/>
    <mergeCell ref="C51:D51"/>
    <mergeCell ref="C52:D52"/>
    <mergeCell ref="C53:D53"/>
    <mergeCell ref="C54:D54"/>
    <mergeCell ref="C55:D55"/>
    <mergeCell ref="C35:I35"/>
    <mergeCell ref="C44:F44"/>
    <mergeCell ref="C33:G33"/>
    <mergeCell ref="C34:G34"/>
    <mergeCell ref="C28:G28"/>
    <mergeCell ref="C29:G29"/>
    <mergeCell ref="C30:G30"/>
    <mergeCell ref="C31:G31"/>
    <mergeCell ref="C32:G32"/>
    <mergeCell ref="C61:F61"/>
    <mergeCell ref="C62:F62"/>
    <mergeCell ref="C63:F63"/>
    <mergeCell ref="C64:F64"/>
    <mergeCell ref="B66:K6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0"/>
  <dimension ref="A2:E72"/>
  <sheetViews>
    <sheetView topLeftCell="A4" zoomScaleNormal="100" workbookViewId="0">
      <selection activeCell="B62" sqref="B62:B67"/>
    </sheetView>
  </sheetViews>
  <sheetFormatPr defaultColWidth="11.44140625" defaultRowHeight="13.2"/>
  <cols>
    <col min="1" max="1" width="16.88671875" style="224" customWidth="1"/>
    <col min="2" max="2" width="56" customWidth="1"/>
    <col min="3" max="3" width="12.6640625" bestFit="1" customWidth="1"/>
    <col min="8" max="8" width="68.109375" bestFit="1" customWidth="1"/>
  </cols>
  <sheetData>
    <row r="2" spans="1:5">
      <c r="C2" t="s">
        <v>656</v>
      </c>
      <c r="D2" t="s">
        <v>657</v>
      </c>
      <c r="E2" t="s">
        <v>658</v>
      </c>
    </row>
    <row r="3" spans="1:5">
      <c r="A3" s="446" t="s">
        <v>600</v>
      </c>
      <c r="B3" t="s">
        <v>609</v>
      </c>
      <c r="C3">
        <v>2200</v>
      </c>
      <c r="D3">
        <v>5</v>
      </c>
      <c r="E3">
        <v>5</v>
      </c>
    </row>
    <row r="4" spans="1:5">
      <c r="A4" s="446"/>
      <c r="B4" t="s">
        <v>610</v>
      </c>
      <c r="C4">
        <v>2200</v>
      </c>
      <c r="D4">
        <v>10</v>
      </c>
      <c r="E4">
        <v>10</v>
      </c>
    </row>
    <row r="5" spans="1:5">
      <c r="A5" s="446"/>
      <c r="B5" t="s">
        <v>611</v>
      </c>
      <c r="C5">
        <v>10000</v>
      </c>
      <c r="D5">
        <v>15</v>
      </c>
      <c r="E5">
        <v>15</v>
      </c>
    </row>
    <row r="6" spans="1:5">
      <c r="A6" s="446"/>
      <c r="B6" t="s">
        <v>612</v>
      </c>
      <c r="C6">
        <v>11000</v>
      </c>
      <c r="D6">
        <v>20</v>
      </c>
      <c r="E6">
        <v>20</v>
      </c>
    </row>
    <row r="7" spans="1:5">
      <c r="A7" s="446"/>
      <c r="B7" t="s">
        <v>613</v>
      </c>
      <c r="C7">
        <v>12000</v>
      </c>
      <c r="D7">
        <v>15</v>
      </c>
      <c r="E7">
        <v>15</v>
      </c>
    </row>
    <row r="8" spans="1:5">
      <c r="A8" s="446"/>
      <c r="B8" t="s">
        <v>614</v>
      </c>
      <c r="C8">
        <v>12000</v>
      </c>
      <c r="D8">
        <v>15</v>
      </c>
      <c r="E8">
        <v>15</v>
      </c>
    </row>
    <row r="9" spans="1:5">
      <c r="A9" s="446"/>
      <c r="B9" t="s">
        <v>615</v>
      </c>
      <c r="C9">
        <v>12000</v>
      </c>
      <c r="D9">
        <v>15</v>
      </c>
      <c r="E9">
        <v>15</v>
      </c>
    </row>
    <row r="10" spans="1:5">
      <c r="A10" s="446"/>
      <c r="B10" t="s">
        <v>616</v>
      </c>
      <c r="C10">
        <v>12000</v>
      </c>
      <c r="D10">
        <v>15</v>
      </c>
      <c r="E10">
        <v>15</v>
      </c>
    </row>
    <row r="11" spans="1:5">
      <c r="A11" s="446"/>
      <c r="B11" t="s">
        <v>617</v>
      </c>
      <c r="C11">
        <v>12000</v>
      </c>
      <c r="D11">
        <v>70</v>
      </c>
      <c r="E11">
        <v>40</v>
      </c>
    </row>
    <row r="12" spans="1:5">
      <c r="A12" s="446"/>
      <c r="B12" t="s">
        <v>618</v>
      </c>
      <c r="C12">
        <v>12000</v>
      </c>
      <c r="D12">
        <v>15</v>
      </c>
      <c r="E12">
        <v>15</v>
      </c>
    </row>
    <row r="13" spans="1:5">
      <c r="A13" s="446"/>
      <c r="B13" t="s">
        <v>619</v>
      </c>
      <c r="C13">
        <v>12000</v>
      </c>
      <c r="D13">
        <v>15</v>
      </c>
      <c r="E13">
        <v>15</v>
      </c>
    </row>
    <row r="15" spans="1:5">
      <c r="A15" s="447" t="s">
        <v>601</v>
      </c>
      <c r="B15" t="s">
        <v>229</v>
      </c>
    </row>
    <row r="16" spans="1:5">
      <c r="A16" s="447"/>
      <c r="B16" t="s">
        <v>620</v>
      </c>
    </row>
    <row r="17" spans="1:2">
      <c r="A17" s="447"/>
      <c r="B17" t="s">
        <v>621</v>
      </c>
    </row>
    <row r="18" spans="1:2">
      <c r="A18" s="447"/>
      <c r="B18" t="s">
        <v>622</v>
      </c>
    </row>
    <row r="19" spans="1:2">
      <c r="A19" s="447"/>
      <c r="B19" t="s">
        <v>623</v>
      </c>
    </row>
    <row r="20" spans="1:2">
      <c r="A20" s="447"/>
      <c r="B20" t="s">
        <v>624</v>
      </c>
    </row>
    <row r="21" spans="1:2">
      <c r="A21" s="447"/>
      <c r="B21" t="s">
        <v>625</v>
      </c>
    </row>
    <row r="22" spans="1:2">
      <c r="A22" s="447"/>
      <c r="B22" t="s">
        <v>626</v>
      </c>
    </row>
    <row r="23" spans="1:2">
      <c r="A23" s="447"/>
      <c r="B23" t="s">
        <v>627</v>
      </c>
    </row>
    <row r="25" spans="1:2">
      <c r="A25" s="447" t="s">
        <v>602</v>
      </c>
      <c r="B25" t="s">
        <v>628</v>
      </c>
    </row>
    <row r="26" spans="1:2">
      <c r="A26" s="447"/>
      <c r="B26" t="s">
        <v>629</v>
      </c>
    </row>
    <row r="27" spans="1:2">
      <c r="A27" s="447"/>
      <c r="B27" t="s">
        <v>630</v>
      </c>
    </row>
    <row r="28" spans="1:2">
      <c r="A28" s="447"/>
      <c r="B28" t="s">
        <v>631</v>
      </c>
    </row>
    <row r="30" spans="1:2">
      <c r="A30" s="447" t="s">
        <v>603</v>
      </c>
      <c r="B30" t="s">
        <v>632</v>
      </c>
    </row>
    <row r="31" spans="1:2">
      <c r="A31" s="447"/>
      <c r="B31" t="s">
        <v>633</v>
      </c>
    </row>
    <row r="32" spans="1:2">
      <c r="A32" s="447"/>
      <c r="B32" t="s">
        <v>634</v>
      </c>
    </row>
    <row r="34" spans="1:2">
      <c r="A34" s="447"/>
      <c r="B34" t="s">
        <v>635</v>
      </c>
    </row>
    <row r="35" spans="1:2">
      <c r="A35" s="447"/>
      <c r="B35" t="s">
        <v>636</v>
      </c>
    </row>
    <row r="36" spans="1:2">
      <c r="A36" s="447"/>
      <c r="B36" t="s">
        <v>637</v>
      </c>
    </row>
    <row r="38" spans="1:2">
      <c r="A38" s="447" t="s">
        <v>604</v>
      </c>
      <c r="B38" t="s">
        <v>638</v>
      </c>
    </row>
    <row r="39" spans="1:2">
      <c r="A39" s="447"/>
      <c r="B39" t="s">
        <v>639</v>
      </c>
    </row>
    <row r="41" spans="1:2">
      <c r="A41" s="446" t="s">
        <v>605</v>
      </c>
      <c r="B41" t="s">
        <v>640</v>
      </c>
    </row>
    <row r="42" spans="1:2">
      <c r="A42" s="446"/>
      <c r="B42" t="s">
        <v>641</v>
      </c>
    </row>
    <row r="43" spans="1:2">
      <c r="A43" s="446"/>
      <c r="B43" t="s">
        <v>642</v>
      </c>
    </row>
    <row r="45" spans="1:2">
      <c r="A45" s="447" t="s">
        <v>606</v>
      </c>
      <c r="B45" t="s">
        <v>643</v>
      </c>
    </row>
    <row r="46" spans="1:2">
      <c r="A46" s="447"/>
      <c r="B46" t="s">
        <v>644</v>
      </c>
    </row>
    <row r="48" spans="1:2">
      <c r="A48" s="447" t="s">
        <v>61</v>
      </c>
      <c r="B48">
        <v>0.05</v>
      </c>
    </row>
    <row r="49" spans="1:2">
      <c r="A49" s="447"/>
      <c r="B49">
        <v>0.15</v>
      </c>
    </row>
    <row r="50" spans="1:2">
      <c r="A50" s="447"/>
      <c r="B50">
        <v>0.5</v>
      </c>
    </row>
    <row r="51" spans="1:2">
      <c r="A51" s="447"/>
      <c r="B51">
        <v>1</v>
      </c>
    </row>
    <row r="53" spans="1:2">
      <c r="A53" s="446" t="s">
        <v>607</v>
      </c>
      <c r="B53" t="s">
        <v>645</v>
      </c>
    </row>
    <row r="54" spans="1:2">
      <c r="A54" s="446"/>
      <c r="B54" t="s">
        <v>646</v>
      </c>
    </row>
    <row r="55" spans="1:2">
      <c r="A55" s="446"/>
      <c r="B55" t="s">
        <v>647</v>
      </c>
    </row>
    <row r="56" spans="1:2">
      <c r="A56" s="446"/>
      <c r="B56" t="s">
        <v>648</v>
      </c>
    </row>
    <row r="57" spans="1:2">
      <c r="A57" s="446"/>
      <c r="B57" t="s">
        <v>649</v>
      </c>
    </row>
    <row r="58" spans="1:2">
      <c r="A58" s="446"/>
      <c r="B58" t="s">
        <v>650</v>
      </c>
    </row>
    <row r="59" spans="1:2">
      <c r="A59" s="446"/>
      <c r="B59" t="s">
        <v>651</v>
      </c>
    </row>
    <row r="60" spans="1:2">
      <c r="A60" s="446"/>
      <c r="B60" t="s">
        <v>652</v>
      </c>
    </row>
    <row r="61" spans="1:2">
      <c r="A61" s="266"/>
    </row>
    <row r="62" spans="1:2">
      <c r="A62" s="446" t="s">
        <v>608</v>
      </c>
      <c r="B62" t="s">
        <v>653</v>
      </c>
    </row>
    <row r="63" spans="1:2">
      <c r="A63" s="446"/>
      <c r="B63" t="s">
        <v>654</v>
      </c>
    </row>
    <row r="64" spans="1:2">
      <c r="A64" s="446"/>
      <c r="B64" t="s">
        <v>655</v>
      </c>
    </row>
    <row r="65" spans="1:2">
      <c r="A65" s="446"/>
      <c r="B65" t="s">
        <v>650</v>
      </c>
    </row>
    <row r="66" spans="1:2">
      <c r="A66" s="446"/>
      <c r="B66" t="s">
        <v>651</v>
      </c>
    </row>
    <row r="67" spans="1:2">
      <c r="A67" s="446"/>
      <c r="B67" t="s">
        <v>652</v>
      </c>
    </row>
    <row r="68" spans="1:2">
      <c r="A68" s="266"/>
    </row>
    <row r="69" spans="1:2">
      <c r="A69" s="266"/>
    </row>
    <row r="70" spans="1:2">
      <c r="A70" s="266"/>
    </row>
    <row r="71" spans="1:2">
      <c r="A71" s="266"/>
    </row>
    <row r="72" spans="1:2">
      <c r="A72" s="266"/>
    </row>
  </sheetData>
  <sheetProtection algorithmName="SHA-512" hashValue="pXmAKYBmKHpZfc1uSrByIojVsamgFYRr/2wZZ8Fla63PytZ1hYIeNLCIraeBTiw0SnCmMOBS5N9RqnE7/JM1VA==" saltValue="vRXlDPUYV3rwlgx2zJAlLA==" spinCount="100000" sheet="1" selectLockedCells="1" selectUnlockedCells="1"/>
  <sortState xmlns:xlrd2="http://schemas.microsoft.com/office/spreadsheetml/2017/richdata2" ref="B53:I63">
    <sortCondition ref="I53:I63"/>
  </sortState>
  <mergeCells count="11">
    <mergeCell ref="A62:A67"/>
    <mergeCell ref="A3:A13"/>
    <mergeCell ref="A25:A28"/>
    <mergeCell ref="A15:A23"/>
    <mergeCell ref="A30:A32"/>
    <mergeCell ref="A34:A36"/>
    <mergeCell ref="A48:A51"/>
    <mergeCell ref="A45:A46"/>
    <mergeCell ref="A41:A43"/>
    <mergeCell ref="A38:A39"/>
    <mergeCell ref="A53:A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1"/>
  <dimension ref="A1:H44"/>
  <sheetViews>
    <sheetView zoomScaleNormal="100" workbookViewId="0">
      <selection activeCell="E9" sqref="E9"/>
    </sheetView>
  </sheetViews>
  <sheetFormatPr defaultColWidth="11.44140625" defaultRowHeight="13.2"/>
  <cols>
    <col min="1" max="1" width="5.44140625" style="1" customWidth="1"/>
    <col min="2" max="2" width="30.6640625" style="1" customWidth="1"/>
    <col min="3" max="3" width="25.6640625" style="1" customWidth="1"/>
    <col min="4" max="5" width="20.6640625" style="1" customWidth="1"/>
    <col min="6" max="7" width="14.6640625" style="1" customWidth="1"/>
    <col min="8" max="8" width="22.88671875" style="1" customWidth="1"/>
    <col min="9" max="16384" width="11.44140625" style="1"/>
  </cols>
  <sheetData>
    <row r="1" spans="1:8" ht="20.25" customHeight="1">
      <c r="B1" s="99" t="s">
        <v>1</v>
      </c>
      <c r="C1" s="100" t="s">
        <v>15</v>
      </c>
    </row>
    <row r="2" spans="1:8" ht="12.75" customHeight="1">
      <c r="B2" s="101" t="s">
        <v>26</v>
      </c>
      <c r="C2" s="274" t="str">
        <f>IF(Confirmation!D3="","",Confirmation!D3)</f>
        <v/>
      </c>
      <c r="D2" s="274"/>
    </row>
    <row r="3" spans="1:8">
      <c r="B3" s="102" t="s">
        <v>4</v>
      </c>
      <c r="C3" s="274" t="str">
        <f>IF(Confirmation!D5="","",Confirmation!D5)</f>
        <v/>
      </c>
      <c r="D3" s="274"/>
    </row>
    <row r="4" spans="1:8" ht="12.75" customHeight="1">
      <c r="B4" s="103" t="s">
        <v>27</v>
      </c>
      <c r="C4" s="303" t="str">
        <f>IF(Confirmation!D6="","",Confirmation!D6)</f>
        <v/>
      </c>
      <c r="D4" s="303"/>
    </row>
    <row r="6" spans="1:8" s="2" customFormat="1">
      <c r="A6" s="4"/>
      <c r="B6" s="313" t="s">
        <v>28</v>
      </c>
      <c r="C6" s="313" t="s">
        <v>32</v>
      </c>
      <c r="D6" s="222" t="s">
        <v>34</v>
      </c>
      <c r="E6" s="222" t="s">
        <v>36</v>
      </c>
      <c r="F6" s="313" t="s">
        <v>38</v>
      </c>
      <c r="G6" s="313" t="s">
        <v>39</v>
      </c>
      <c r="H6" s="313" t="s">
        <v>40</v>
      </c>
    </row>
    <row r="7" spans="1:8" s="2" customFormat="1" ht="26.4">
      <c r="A7" s="4"/>
      <c r="B7" s="313"/>
      <c r="C7" s="313"/>
      <c r="D7" s="223" t="s">
        <v>35</v>
      </c>
      <c r="E7" s="223" t="s">
        <v>37</v>
      </c>
      <c r="F7" s="313"/>
      <c r="G7" s="313"/>
      <c r="H7" s="313"/>
    </row>
    <row r="8" spans="1:8">
      <c r="A8" s="5">
        <v>1</v>
      </c>
      <c r="B8" s="8" t="s">
        <v>29</v>
      </c>
      <c r="C8" s="8"/>
      <c r="D8" s="192"/>
      <c r="E8" s="191"/>
      <c r="F8" s="192"/>
      <c r="G8" s="192"/>
      <c r="H8" s="192"/>
    </row>
    <row r="9" spans="1:8">
      <c r="A9" s="5">
        <v>2</v>
      </c>
      <c r="B9" s="9"/>
      <c r="C9" s="9"/>
      <c r="D9" s="190"/>
      <c r="E9" s="208"/>
      <c r="F9" s="191"/>
      <c r="G9" s="191"/>
      <c r="H9" s="191"/>
    </row>
    <row r="10" spans="1:8">
      <c r="A10" s="5">
        <v>3</v>
      </c>
      <c r="B10" s="9"/>
      <c r="C10" s="9" t="s">
        <v>33</v>
      </c>
      <c r="D10" s="190"/>
      <c r="E10" s="208"/>
      <c r="F10" s="191"/>
      <c r="G10" s="191"/>
      <c r="H10" s="191"/>
    </row>
    <row r="11" spans="1:8">
      <c r="A11" s="5">
        <v>4</v>
      </c>
      <c r="B11" s="9"/>
      <c r="C11" s="9"/>
      <c r="D11" s="190"/>
      <c r="E11" s="208"/>
      <c r="F11" s="191"/>
      <c r="G11" s="191"/>
      <c r="H11" s="191"/>
    </row>
    <row r="12" spans="1:8">
      <c r="A12" s="5">
        <v>5</v>
      </c>
      <c r="B12" s="9"/>
      <c r="C12" s="9"/>
      <c r="D12" s="190"/>
      <c r="E12" s="208"/>
      <c r="F12" s="191"/>
      <c r="G12" s="191"/>
      <c r="H12" s="191"/>
    </row>
    <row r="13" spans="1:8">
      <c r="A13" s="5">
        <v>6</v>
      </c>
      <c r="B13" s="9"/>
      <c r="C13" s="9"/>
      <c r="D13" s="9"/>
      <c r="E13" s="208"/>
      <c r="F13" s="191"/>
      <c r="G13" s="191"/>
      <c r="H13" s="191"/>
    </row>
    <row r="14" spans="1:8">
      <c r="A14" s="5">
        <v>7</v>
      </c>
      <c r="B14" s="9"/>
      <c r="C14" s="9"/>
      <c r="D14" s="190"/>
      <c r="E14" s="208"/>
      <c r="F14" s="191"/>
      <c r="G14" s="191"/>
      <c r="H14" s="191"/>
    </row>
    <row r="15" spans="1:8">
      <c r="A15" s="5">
        <v>8</v>
      </c>
      <c r="B15" s="9"/>
      <c r="C15" s="9"/>
      <c r="D15" s="190"/>
      <c r="E15" s="208"/>
      <c r="F15" s="191"/>
      <c r="G15" s="191"/>
      <c r="H15" s="191"/>
    </row>
    <row r="16" spans="1:8">
      <c r="A16" s="5">
        <v>9</v>
      </c>
      <c r="B16" s="9"/>
      <c r="C16" s="9"/>
      <c r="D16" s="190"/>
      <c r="E16" s="208"/>
      <c r="F16" s="191"/>
      <c r="G16" s="191"/>
      <c r="H16" s="191"/>
    </row>
    <row r="17" spans="1:8">
      <c r="A17" s="5">
        <v>10</v>
      </c>
      <c r="B17" s="9"/>
      <c r="C17" s="9"/>
      <c r="D17" s="190"/>
      <c r="E17" s="208"/>
      <c r="F17" s="191"/>
      <c r="G17" s="191"/>
      <c r="H17" s="191"/>
    </row>
    <row r="18" spans="1:8">
      <c r="A18" s="5">
        <v>11</v>
      </c>
      <c r="B18" s="9"/>
      <c r="C18" s="9"/>
      <c r="D18" s="190"/>
      <c r="E18" s="208"/>
      <c r="F18" s="191"/>
      <c r="G18" s="191"/>
      <c r="H18" s="191"/>
    </row>
    <row r="19" spans="1:8">
      <c r="A19" s="5">
        <v>12</v>
      </c>
      <c r="B19" s="9"/>
      <c r="C19" s="9"/>
      <c r="D19" s="190"/>
      <c r="E19" s="208"/>
      <c r="F19" s="191"/>
      <c r="G19" s="191"/>
      <c r="H19" s="191"/>
    </row>
    <row r="20" spans="1:8">
      <c r="A20" s="5">
        <v>13</v>
      </c>
      <c r="B20" s="9"/>
      <c r="C20" s="9"/>
      <c r="D20" s="190"/>
      <c r="E20" s="208"/>
      <c r="F20" s="191"/>
      <c r="G20" s="191"/>
      <c r="H20" s="191"/>
    </row>
    <row r="21" spans="1:8">
      <c r="A21" s="5">
        <v>14</v>
      </c>
      <c r="B21" s="9"/>
      <c r="C21" s="9"/>
      <c r="D21" s="190"/>
      <c r="E21" s="208"/>
      <c r="F21" s="191"/>
      <c r="G21" s="191"/>
      <c r="H21" s="191"/>
    </row>
    <row r="22" spans="1:8">
      <c r="A22" s="5">
        <v>15</v>
      </c>
      <c r="B22" s="9"/>
      <c r="C22" s="9"/>
      <c r="D22" s="190"/>
      <c r="E22" s="208"/>
      <c r="F22" s="191"/>
      <c r="G22" s="191"/>
      <c r="H22" s="191"/>
    </row>
    <row r="23" spans="1:8">
      <c r="A23" s="5">
        <v>16</v>
      </c>
      <c r="B23" s="9"/>
      <c r="C23" s="9"/>
      <c r="D23" s="190"/>
      <c r="E23" s="208"/>
      <c r="F23" s="191"/>
      <c r="G23" s="191"/>
      <c r="H23" s="191"/>
    </row>
    <row r="24" spans="1:8">
      <c r="A24" s="5">
        <v>17</v>
      </c>
      <c r="B24" s="9"/>
      <c r="C24" s="9"/>
      <c r="D24" s="190"/>
      <c r="E24" s="208"/>
      <c r="F24" s="191"/>
      <c r="G24" s="191"/>
      <c r="H24" s="191"/>
    </row>
    <row r="25" spans="1:8">
      <c r="A25" s="5">
        <v>18</v>
      </c>
      <c r="B25" s="9"/>
      <c r="C25" s="9"/>
      <c r="D25" s="190"/>
      <c r="E25" s="208"/>
      <c r="F25" s="191"/>
      <c r="G25" s="191"/>
      <c r="H25" s="191"/>
    </row>
    <row r="26" spans="1:8">
      <c r="A26" s="5">
        <v>19</v>
      </c>
      <c r="B26" s="9"/>
      <c r="C26" s="9"/>
      <c r="D26" s="190"/>
      <c r="E26" s="208"/>
      <c r="F26" s="191"/>
      <c r="G26" s="191"/>
      <c r="H26" s="191"/>
    </row>
    <row r="27" spans="1:8">
      <c r="A27" s="5">
        <v>20</v>
      </c>
      <c r="B27" s="9"/>
      <c r="C27" s="9"/>
      <c r="D27" s="190"/>
      <c r="E27" s="208"/>
      <c r="F27" s="191"/>
      <c r="G27" s="191"/>
      <c r="H27" s="191"/>
    </row>
    <row r="28" spans="1:8">
      <c r="A28" s="5">
        <v>21</v>
      </c>
      <c r="B28" s="9"/>
      <c r="C28" s="9"/>
      <c r="D28" s="190"/>
      <c r="E28" s="208"/>
      <c r="F28" s="191"/>
      <c r="G28" s="191"/>
      <c r="H28" s="191"/>
    </row>
    <row r="29" spans="1:8">
      <c r="A29" s="5">
        <v>22</v>
      </c>
      <c r="B29" s="9"/>
      <c r="C29" s="9"/>
      <c r="D29" s="190"/>
      <c r="E29" s="208"/>
      <c r="F29" s="191"/>
      <c r="G29" s="191"/>
      <c r="H29" s="191"/>
    </row>
    <row r="30" spans="1:8">
      <c r="A30" s="5">
        <v>23</v>
      </c>
      <c r="B30" s="9"/>
      <c r="C30" s="9"/>
      <c r="D30" s="190"/>
      <c r="E30" s="208"/>
      <c r="F30" s="191"/>
      <c r="G30" s="191"/>
      <c r="H30" s="191"/>
    </row>
    <row r="31" spans="1:8">
      <c r="A31" s="5">
        <v>24</v>
      </c>
      <c r="B31" s="9"/>
      <c r="C31" s="9"/>
      <c r="D31" s="190"/>
      <c r="E31" s="208"/>
      <c r="F31" s="191"/>
      <c r="G31" s="191"/>
      <c r="H31" s="191"/>
    </row>
    <row r="32" spans="1:8">
      <c r="A32" s="5">
        <v>25</v>
      </c>
      <c r="B32" s="9"/>
      <c r="C32" s="9"/>
      <c r="D32" s="190"/>
      <c r="E32" s="208"/>
      <c r="F32" s="191"/>
      <c r="G32" s="191"/>
      <c r="H32" s="191"/>
    </row>
    <row r="33" spans="1:8">
      <c r="A33" s="5">
        <v>26</v>
      </c>
      <c r="B33" s="9"/>
      <c r="C33" s="9"/>
      <c r="D33" s="190"/>
      <c r="E33" s="208"/>
      <c r="F33" s="191"/>
      <c r="G33" s="191"/>
      <c r="H33" s="191"/>
    </row>
    <row r="34" spans="1:8">
      <c r="A34" s="5">
        <v>27</v>
      </c>
      <c r="B34" s="9"/>
      <c r="C34" s="9"/>
      <c r="D34" s="190"/>
      <c r="E34" s="208"/>
      <c r="F34" s="191"/>
      <c r="G34" s="191"/>
      <c r="H34" s="191"/>
    </row>
    <row r="35" spans="1:8">
      <c r="A35" s="5">
        <v>28</v>
      </c>
      <c r="B35" s="9"/>
      <c r="C35" s="9"/>
      <c r="D35" s="190"/>
      <c r="E35" s="208"/>
      <c r="F35" s="191"/>
      <c r="G35" s="191"/>
      <c r="H35" s="191"/>
    </row>
    <row r="36" spans="1:8">
      <c r="A36" s="5">
        <v>29</v>
      </c>
      <c r="B36" s="9"/>
      <c r="C36" s="9"/>
      <c r="D36" s="190"/>
      <c r="E36" s="208"/>
      <c r="F36" s="191"/>
      <c r="G36" s="191"/>
      <c r="H36" s="191"/>
    </row>
    <row r="37" spans="1:8" ht="13.8" thickBot="1">
      <c r="A37" s="5">
        <v>30</v>
      </c>
      <c r="B37" s="9"/>
      <c r="C37" s="9"/>
      <c r="D37" s="190"/>
      <c r="E37" s="209"/>
      <c r="F37" s="191"/>
      <c r="G37" s="191"/>
      <c r="H37" s="191"/>
    </row>
    <row r="38" spans="1:8" s="3" customFormat="1" ht="18" thickBot="1">
      <c r="B38" s="3" t="s">
        <v>30</v>
      </c>
      <c r="E38" s="210">
        <f>SUM(E8:E37)</f>
        <v>0</v>
      </c>
    </row>
    <row r="40" spans="1:8">
      <c r="B40" s="1" t="s">
        <v>31</v>
      </c>
    </row>
    <row r="41" spans="1:8">
      <c r="B41" s="304"/>
      <c r="C41" s="305"/>
      <c r="D41" s="305"/>
      <c r="E41" s="305"/>
      <c r="F41" s="305"/>
      <c r="G41" s="305"/>
      <c r="H41" s="306"/>
    </row>
    <row r="42" spans="1:8">
      <c r="B42" s="307"/>
      <c r="C42" s="308"/>
      <c r="D42" s="308"/>
      <c r="E42" s="308"/>
      <c r="F42" s="308"/>
      <c r="G42" s="308"/>
      <c r="H42" s="309"/>
    </row>
    <row r="43" spans="1:8">
      <c r="B43" s="307"/>
      <c r="C43" s="308"/>
      <c r="D43" s="308"/>
      <c r="E43" s="308"/>
      <c r="F43" s="308"/>
      <c r="G43" s="308"/>
      <c r="H43" s="309"/>
    </row>
    <row r="44" spans="1:8">
      <c r="B44" s="310"/>
      <c r="C44" s="311"/>
      <c r="D44" s="311"/>
      <c r="E44" s="311"/>
      <c r="F44" s="311"/>
      <c r="G44" s="311"/>
      <c r="H44" s="312"/>
    </row>
  </sheetData>
  <sheetProtection algorithmName="SHA-512" hashValue="gaUjsyfMz3dWpHsC9FdhY/Ki4GU/vsNNpNw+fbfEvOl/dzG341snKukFNVnkSrjoZHmVeuTD53n0qcSYP1uzVg==" saltValue="xkBYez3/Es5FShkY93pXOw==" spinCount="100000" sheet="1" selectLockedCells="1"/>
  <autoFilter ref="B6:B38" xr:uid="{00000000-0009-0000-0000-000001000000}"/>
  <mergeCells count="9">
    <mergeCell ref="C2:D2"/>
    <mergeCell ref="C3:D3"/>
    <mergeCell ref="C4:D4"/>
    <mergeCell ref="B41:H44"/>
    <mergeCell ref="G6:G7"/>
    <mergeCell ref="H6:H7"/>
    <mergeCell ref="B6:B7"/>
    <mergeCell ref="C6:C7"/>
    <mergeCell ref="F6:F7"/>
  </mergeCells>
  <conditionalFormatting sqref="C9:F9 H9 D10:D37">
    <cfRule type="expression" dxfId="146" priority="6">
      <formula>ISBLANK($B9)</formula>
    </cfRule>
  </conditionalFormatting>
  <conditionalFormatting sqref="C10:C37 H10:H37 E10:E37">
    <cfRule type="expression" dxfId="145" priority="5">
      <formula>ISBLANK($B10)</formula>
    </cfRule>
  </conditionalFormatting>
  <conditionalFormatting sqref="F10:F37">
    <cfRule type="expression" dxfId="144" priority="4">
      <formula>ISBLANK($B10)</formula>
    </cfRule>
  </conditionalFormatting>
  <conditionalFormatting sqref="G9:G37">
    <cfRule type="expression" dxfId="143" priority="3">
      <formula>ISBLANK($B9)</formula>
    </cfRule>
  </conditionalFormatting>
  <conditionalFormatting sqref="F9:G37">
    <cfRule type="containsText" dxfId="142" priority="1" operator="containsText" text="No">
      <formula>NOT(ISERROR(SEARCH("No",F9)))</formula>
    </cfRule>
    <cfRule type="containsText" dxfId="141" priority="2" operator="containsText" text="Yes">
      <formula>NOT(ISERROR(SEARCH("Yes",F9)))</formula>
    </cfRule>
  </conditionalFormatting>
  <dataValidations count="1">
    <dataValidation type="list" allowBlank="1" showInputMessage="1" showErrorMessage="1" sqref="F9:G37" xr:uid="{00000000-0002-0000-0100-000000000000}">
      <formula1>"Yes,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Hoja2!$B$15:$B$23</xm:f>
          </x14:formula1>
          <xm:sqref>D9:D37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9"/>
  <dimension ref="A1:AC66"/>
  <sheetViews>
    <sheetView showZeros="0" zoomScaleNormal="100" workbookViewId="0">
      <selection activeCell="E14" sqref="E14"/>
    </sheetView>
  </sheetViews>
  <sheetFormatPr defaultColWidth="11.44140625" defaultRowHeight="13.2"/>
  <cols>
    <col min="1" max="1" width="5.44140625" style="1" customWidth="1"/>
    <col min="2" max="2" width="30.6640625" style="1" customWidth="1"/>
    <col min="3" max="3" width="20.33203125" style="1" bestFit="1" customWidth="1"/>
    <col min="4" max="4" width="4.88671875" style="1" hidden="1" customWidth="1"/>
    <col min="5" max="5" width="13.88671875" style="1" bestFit="1" customWidth="1"/>
    <col min="6" max="6" width="13.109375" style="1" hidden="1" customWidth="1"/>
    <col min="7" max="7" width="20.6640625" style="1" customWidth="1"/>
    <col min="8" max="8" width="13.109375" style="1" bestFit="1" customWidth="1"/>
    <col min="9" max="12" width="2.33203125" style="1" hidden="1" customWidth="1"/>
    <col min="13" max="13" width="17" style="1" customWidth="1"/>
    <col min="14" max="14" width="23" style="1" customWidth="1"/>
    <col min="15" max="18" width="6.44140625" style="1" hidden="1" customWidth="1"/>
    <col min="19" max="19" width="23" style="1" customWidth="1"/>
    <col min="20" max="21" width="15.44140625" style="1" customWidth="1"/>
    <col min="22" max="23" width="13" style="1" customWidth="1"/>
    <col min="24" max="24" width="2.44140625" style="1" customWidth="1"/>
    <col min="25" max="27" width="11.44140625" style="1"/>
    <col min="28" max="28" width="11.44140625" style="1" hidden="1" customWidth="1"/>
    <col min="29" max="16384" width="11.44140625" style="1"/>
  </cols>
  <sheetData>
    <row r="1" spans="1:28">
      <c r="B1" s="314" t="s">
        <v>42</v>
      </c>
      <c r="C1" s="315"/>
      <c r="D1" s="315"/>
      <c r="E1" s="316"/>
    </row>
    <row r="2" spans="1:28">
      <c r="B2" s="102" t="s">
        <v>26</v>
      </c>
      <c r="C2" s="274" t="str">
        <f>'Product formulation'!C2</f>
        <v/>
      </c>
      <c r="D2" s="319"/>
      <c r="E2" s="274"/>
    </row>
    <row r="3" spans="1:28">
      <c r="B3" s="102" t="s">
        <v>4</v>
      </c>
      <c r="C3" s="274" t="str">
        <f>'Product formulation'!C3</f>
        <v/>
      </c>
      <c r="D3" s="320"/>
      <c r="E3" s="274"/>
    </row>
    <row r="4" spans="1:28">
      <c r="B4" s="103" t="s">
        <v>27</v>
      </c>
      <c r="C4" s="303" t="str">
        <f>'Product formulation'!C4</f>
        <v/>
      </c>
      <c r="D4" s="321"/>
      <c r="E4" s="303"/>
    </row>
    <row r="6" spans="1:28" s="193" customFormat="1" ht="15.6">
      <c r="A6" s="193" t="s">
        <v>41</v>
      </c>
    </row>
    <row r="8" spans="1:28" s="2" customFormat="1" ht="40.5" customHeight="1">
      <c r="A8" s="4"/>
      <c r="B8" s="313" t="s">
        <v>43</v>
      </c>
      <c r="C8" s="189" t="s">
        <v>44</v>
      </c>
      <c r="D8" s="189"/>
      <c r="E8" s="189" t="s">
        <v>46</v>
      </c>
      <c r="F8" s="189" t="s">
        <v>659</v>
      </c>
      <c r="G8" s="317" t="s">
        <v>48</v>
      </c>
      <c r="H8" s="189" t="s">
        <v>34</v>
      </c>
      <c r="I8" s="189"/>
      <c r="J8" s="189"/>
      <c r="K8" s="189"/>
      <c r="L8" s="189"/>
      <c r="M8" s="189" t="s">
        <v>49</v>
      </c>
      <c r="N8" s="189" t="s">
        <v>40</v>
      </c>
      <c r="O8" s="189"/>
      <c r="P8" s="189"/>
      <c r="Q8" s="189"/>
      <c r="R8" s="189"/>
      <c r="S8" s="189" t="s">
        <v>51</v>
      </c>
      <c r="T8" s="189" t="s">
        <v>52</v>
      </c>
      <c r="U8" s="313" t="s">
        <v>54</v>
      </c>
      <c r="V8" s="189" t="s">
        <v>55</v>
      </c>
      <c r="W8" s="189" t="s">
        <v>56</v>
      </c>
    </row>
    <row r="9" spans="1:28" s="2" customFormat="1" ht="52.8">
      <c r="A9" s="4"/>
      <c r="B9" s="313"/>
      <c r="C9" s="194" t="s">
        <v>45</v>
      </c>
      <c r="D9" s="194"/>
      <c r="E9" s="194" t="s">
        <v>47</v>
      </c>
      <c r="F9" s="194"/>
      <c r="G9" s="318"/>
      <c r="H9" s="194" t="s">
        <v>45</v>
      </c>
      <c r="I9" s="194"/>
      <c r="J9" s="194"/>
      <c r="K9" s="194"/>
      <c r="L9" s="194"/>
      <c r="M9" s="194" t="s">
        <v>37</v>
      </c>
      <c r="N9" s="195" t="s">
        <v>50</v>
      </c>
      <c r="O9" s="195"/>
      <c r="P9" s="195"/>
      <c r="Q9" s="195"/>
      <c r="R9" s="195"/>
      <c r="S9" s="194" t="s">
        <v>45</v>
      </c>
      <c r="T9" s="194" t="s">
        <v>53</v>
      </c>
      <c r="U9" s="313"/>
      <c r="V9" s="194" t="s">
        <v>45</v>
      </c>
      <c r="W9" s="194" t="s">
        <v>45</v>
      </c>
    </row>
    <row r="10" spans="1:28">
      <c r="A10" s="5">
        <v>1</v>
      </c>
      <c r="B10" s="15" t="s">
        <v>29</v>
      </c>
      <c r="C10" s="15"/>
      <c r="D10" s="15"/>
      <c r="E10" s="15"/>
      <c r="F10" s="15"/>
      <c r="G10" s="15"/>
      <c r="H10" s="15"/>
      <c r="I10" s="15"/>
      <c r="J10" s="15"/>
      <c r="K10" s="15"/>
      <c r="L10" s="15"/>
      <c r="M10" s="268"/>
      <c r="N10" s="196"/>
      <c r="O10" s="196"/>
      <c r="P10" s="196"/>
      <c r="Q10" s="196"/>
      <c r="R10" s="196"/>
      <c r="S10" s="15"/>
      <c r="T10" s="15"/>
      <c r="U10" s="15"/>
      <c r="V10" s="15"/>
      <c r="W10" s="15"/>
    </row>
    <row r="11" spans="1:28">
      <c r="A11" s="5">
        <v>2</v>
      </c>
      <c r="B11" s="9"/>
      <c r="C11" s="9"/>
      <c r="D11" s="237" t="str">
        <f>IF(C11="","",VLOOKUP(C11,'Product formulation'!B:E,4,FALSE))</f>
        <v/>
      </c>
      <c r="E11" s="98"/>
      <c r="F11" s="247">
        <f>IF(D11="",0,(E11*D11/100))</f>
        <v>0</v>
      </c>
      <c r="G11" s="9"/>
      <c r="H11" s="9"/>
      <c r="I11" s="10" t="str">
        <f>IF(H11=Hoja2!$B$15,"Y","N")</f>
        <v>N</v>
      </c>
      <c r="J11" s="10" t="str">
        <f>IF(NOT(ISERROR(SEARCH("400",N11,1))),"Y","N")</f>
        <v>N</v>
      </c>
      <c r="K11" s="10" t="str">
        <f>IF(NOT(ISERROR(SEARCH("412",N11,1))),"Y","N")</f>
        <v>N</v>
      </c>
      <c r="L11" s="10" t="str">
        <f>IF(AND(I11="Y",(OR(J11="Y",K11="Y"))),"Y","N")</f>
        <v>N</v>
      </c>
      <c r="M11" s="269">
        <f>F11</f>
        <v>0</v>
      </c>
      <c r="N11" s="97"/>
      <c r="O11" s="246" t="str">
        <f>IF(S11="Zinc exemption (maximum 25%)","NO",IF(ISNUMBER(SEARCH(410,$N11)),"YES","NO"))</f>
        <v>NO</v>
      </c>
      <c r="P11" s="246" t="str">
        <f>IF(ISNUMBER(SEARCH(411,$N11)),"YES","NO")</f>
        <v>NO</v>
      </c>
      <c r="Q11" s="246" t="str">
        <f t="shared" ref="Q11:Q42" si="0">IF(H11="Surfactant","NO",IF(ISNUMBER(SEARCH(412,$N11)),"YES","NO"))</f>
        <v>NO</v>
      </c>
      <c r="R11" s="6">
        <f t="shared" ref="R11:R42" si="1">IF(O11="YES",M11*100,"0")+IF(P11="YES",M11*10,"0")+IF(Q11="YES",M11,"0")</f>
        <v>0</v>
      </c>
      <c r="S11" s="9"/>
      <c r="T11" s="8"/>
      <c r="U11" s="8"/>
      <c r="V11" s="9"/>
      <c r="W11" s="9"/>
      <c r="AB11">
        <v>300</v>
      </c>
    </row>
    <row r="12" spans="1:28">
      <c r="A12" s="5">
        <v>3</v>
      </c>
      <c r="B12" s="9"/>
      <c r="C12" s="9"/>
      <c r="D12" s="237" t="str">
        <f>IF(C12="","",VLOOKUP(C12,'Product formulation'!B:E,4,FALSE))</f>
        <v/>
      </c>
      <c r="E12" s="98"/>
      <c r="F12" s="247">
        <f t="shared" ref="F12:F59" si="2">IF(D12="",0,(E12*D12/100))</f>
        <v>0</v>
      </c>
      <c r="G12" s="9"/>
      <c r="H12" s="9"/>
      <c r="I12" s="10" t="str">
        <f>IF(H12=Hoja2!$B$15,"Y","N")</f>
        <v>N</v>
      </c>
      <c r="J12" s="10" t="str">
        <f t="shared" ref="J12:J59" si="3">IF(NOT(ISERROR(SEARCH("400",N12,1))),"Y","N")</f>
        <v>N</v>
      </c>
      <c r="K12" s="10" t="str">
        <f t="shared" ref="K12:K59" si="4">IF(NOT(ISERROR(SEARCH("412",N12,1))),"Y","N")</f>
        <v>N</v>
      </c>
      <c r="L12" s="10" t="str">
        <f t="shared" ref="L12:L59" si="5">IF(AND(I12="Y",(OR(J12="Y",K12="Y"))),"Y","N")</f>
        <v>N</v>
      </c>
      <c r="M12" s="269">
        <f>F12</f>
        <v>0</v>
      </c>
      <c r="N12" s="97"/>
      <c r="O12" s="246" t="str">
        <f t="shared" ref="O12:O59" si="6">IF(S12="Zinc exemption (maximum 25%)","NO",IF(ISNUMBER(SEARCH(410,$N12)),"YES","NO"))</f>
        <v>NO</v>
      </c>
      <c r="P12" s="246" t="str">
        <f t="shared" ref="P12:P59" si="7">IF(ISNUMBER(SEARCH(411,$N12)),"YES","NO")</f>
        <v>NO</v>
      </c>
      <c r="Q12" s="246" t="str">
        <f t="shared" si="0"/>
        <v>NO</v>
      </c>
      <c r="R12" s="6">
        <f t="shared" si="1"/>
        <v>0</v>
      </c>
      <c r="S12" s="9"/>
      <c r="T12" s="8"/>
      <c r="U12" s="8"/>
      <c r="V12" s="9"/>
      <c r="W12" s="9"/>
      <c r="AB12">
        <v>301</v>
      </c>
    </row>
    <row r="13" spans="1:28">
      <c r="A13" s="5">
        <v>4</v>
      </c>
      <c r="B13" s="9"/>
      <c r="C13" s="9"/>
      <c r="D13" s="237" t="str">
        <f>IF(C13="","",VLOOKUP(C13,'Product formulation'!B:E,4,FALSE))</f>
        <v/>
      </c>
      <c r="E13" s="98"/>
      <c r="F13" s="247">
        <f t="shared" si="2"/>
        <v>0</v>
      </c>
      <c r="G13" s="9"/>
      <c r="H13" s="9"/>
      <c r="I13" s="10" t="str">
        <f>IF(H13=Hoja2!$B$15,"Y","N")</f>
        <v>N</v>
      </c>
      <c r="J13" s="10" t="str">
        <f t="shared" si="3"/>
        <v>N</v>
      </c>
      <c r="K13" s="10" t="str">
        <f t="shared" si="4"/>
        <v>N</v>
      </c>
      <c r="L13" s="10" t="str">
        <f t="shared" si="5"/>
        <v>N</v>
      </c>
      <c r="M13" s="269">
        <f>F13</f>
        <v>0</v>
      </c>
      <c r="N13" s="97"/>
      <c r="O13" s="246" t="str">
        <f t="shared" si="6"/>
        <v>NO</v>
      </c>
      <c r="P13" s="246" t="str">
        <f t="shared" si="7"/>
        <v>NO</v>
      </c>
      <c r="Q13" s="246" t="str">
        <f t="shared" si="0"/>
        <v>NO</v>
      </c>
      <c r="R13" s="6">
        <f t="shared" si="1"/>
        <v>0</v>
      </c>
      <c r="S13" s="9"/>
      <c r="T13" s="8"/>
      <c r="U13" s="8"/>
      <c r="V13" s="9"/>
      <c r="W13" s="9"/>
      <c r="AB13">
        <v>310</v>
      </c>
    </row>
    <row r="14" spans="1:28">
      <c r="A14" s="5">
        <v>5</v>
      </c>
      <c r="B14" s="9"/>
      <c r="C14" s="9"/>
      <c r="D14" s="237" t="str">
        <f>IF(C14="","",VLOOKUP(C14,'Product formulation'!B:E,4,FALSE))</f>
        <v/>
      </c>
      <c r="E14" s="98"/>
      <c r="F14" s="247">
        <f t="shared" si="2"/>
        <v>0</v>
      </c>
      <c r="G14" s="9"/>
      <c r="H14" s="9"/>
      <c r="I14" s="10" t="str">
        <f>IF(H14=Hoja2!$B$15,"Y","N")</f>
        <v>N</v>
      </c>
      <c r="J14" s="10" t="str">
        <f t="shared" si="3"/>
        <v>N</v>
      </c>
      <c r="K14" s="10" t="str">
        <f t="shared" si="4"/>
        <v>N</v>
      </c>
      <c r="L14" s="10" t="str">
        <f t="shared" si="5"/>
        <v>N</v>
      </c>
      <c r="M14" s="269">
        <f t="shared" ref="M14:M59" si="8">F14</f>
        <v>0</v>
      </c>
      <c r="N14" s="97"/>
      <c r="O14" s="246" t="str">
        <f t="shared" si="6"/>
        <v>NO</v>
      </c>
      <c r="P14" s="246" t="str">
        <f t="shared" si="7"/>
        <v>NO</v>
      </c>
      <c r="Q14" s="246" t="str">
        <f t="shared" si="0"/>
        <v>NO</v>
      </c>
      <c r="R14" s="6">
        <f t="shared" si="1"/>
        <v>0</v>
      </c>
      <c r="S14" s="9"/>
      <c r="T14" s="8"/>
      <c r="U14" s="8"/>
      <c r="V14" s="9"/>
      <c r="W14" s="9"/>
      <c r="AB14">
        <v>311</v>
      </c>
    </row>
    <row r="15" spans="1:28">
      <c r="A15" s="5">
        <v>6</v>
      </c>
      <c r="B15" s="9"/>
      <c r="C15" s="9"/>
      <c r="D15" s="237" t="str">
        <f>IF(C15="","",VLOOKUP(C15,'Product formulation'!B:E,4,FALSE))</f>
        <v/>
      </c>
      <c r="E15" s="98"/>
      <c r="F15" s="247">
        <f t="shared" si="2"/>
        <v>0</v>
      </c>
      <c r="G15" s="9"/>
      <c r="H15" s="9"/>
      <c r="I15" s="10" t="str">
        <f>IF(H15=Hoja2!$B$15,"Y","N")</f>
        <v>N</v>
      </c>
      <c r="J15" s="10" t="str">
        <f t="shared" si="3"/>
        <v>N</v>
      </c>
      <c r="K15" s="10" t="str">
        <f t="shared" si="4"/>
        <v>N</v>
      </c>
      <c r="L15" s="10" t="str">
        <f t="shared" si="5"/>
        <v>N</v>
      </c>
      <c r="M15" s="269">
        <f t="shared" si="8"/>
        <v>0</v>
      </c>
      <c r="N15" s="97"/>
      <c r="O15" s="246" t="str">
        <f t="shared" si="6"/>
        <v>NO</v>
      </c>
      <c r="P15" s="246" t="str">
        <f t="shared" si="7"/>
        <v>NO</v>
      </c>
      <c r="Q15" s="246" t="str">
        <f t="shared" si="0"/>
        <v>NO</v>
      </c>
      <c r="R15" s="6">
        <f t="shared" si="1"/>
        <v>0</v>
      </c>
      <c r="S15" s="9"/>
      <c r="T15" s="8"/>
      <c r="U15" s="8"/>
      <c r="V15" s="9"/>
      <c r="W15" s="9"/>
      <c r="AB15">
        <v>330</v>
      </c>
    </row>
    <row r="16" spans="1:28">
      <c r="A16" s="5">
        <v>7</v>
      </c>
      <c r="B16" s="9"/>
      <c r="C16" s="9"/>
      <c r="D16" s="237" t="str">
        <f>IF(C16="","",VLOOKUP(C16,'Product formulation'!B:E,4,FALSE))</f>
        <v/>
      </c>
      <c r="E16" s="98"/>
      <c r="F16" s="247">
        <f t="shared" si="2"/>
        <v>0</v>
      </c>
      <c r="G16" s="9"/>
      <c r="H16" s="9"/>
      <c r="I16" s="10" t="str">
        <f>IF(H16=Hoja2!$B$15,"Y","N")</f>
        <v>N</v>
      </c>
      <c r="J16" s="10" t="str">
        <f t="shared" si="3"/>
        <v>N</v>
      </c>
      <c r="K16" s="10" t="str">
        <f t="shared" si="4"/>
        <v>N</v>
      </c>
      <c r="L16" s="10" t="str">
        <f t="shared" si="5"/>
        <v>N</v>
      </c>
      <c r="M16" s="269">
        <f t="shared" si="8"/>
        <v>0</v>
      </c>
      <c r="N16" s="97"/>
      <c r="O16" s="246" t="str">
        <f t="shared" si="6"/>
        <v>NO</v>
      </c>
      <c r="P16" s="246" t="str">
        <f t="shared" si="7"/>
        <v>NO</v>
      </c>
      <c r="Q16" s="246" t="str">
        <f t="shared" si="0"/>
        <v>NO</v>
      </c>
      <c r="R16" s="6">
        <f t="shared" si="1"/>
        <v>0</v>
      </c>
      <c r="S16" s="9"/>
      <c r="T16" s="8"/>
      <c r="U16" s="8"/>
      <c r="V16" s="9"/>
      <c r="W16" s="9"/>
      <c r="AB16">
        <v>331</v>
      </c>
    </row>
    <row r="17" spans="1:29">
      <c r="A17" s="5">
        <v>8</v>
      </c>
      <c r="B17" s="9"/>
      <c r="C17" s="9"/>
      <c r="D17" s="237" t="str">
        <f>IF(C17="","",VLOOKUP(C17,'Product formulation'!B:E,4,FALSE))</f>
        <v/>
      </c>
      <c r="E17" s="98"/>
      <c r="F17" s="247">
        <f t="shared" si="2"/>
        <v>0</v>
      </c>
      <c r="G17" s="9"/>
      <c r="H17" s="9"/>
      <c r="I17" s="10" t="str">
        <f>IF(H17=Hoja2!$B$15,"Y","N")</f>
        <v>N</v>
      </c>
      <c r="J17" s="10" t="str">
        <f t="shared" si="3"/>
        <v>N</v>
      </c>
      <c r="K17" s="10" t="str">
        <f t="shared" si="4"/>
        <v>N</v>
      </c>
      <c r="L17" s="10" t="str">
        <f t="shared" si="5"/>
        <v>N</v>
      </c>
      <c r="M17" s="269">
        <f t="shared" si="8"/>
        <v>0</v>
      </c>
      <c r="N17" s="97"/>
      <c r="O17" s="246" t="str">
        <f t="shared" si="6"/>
        <v>NO</v>
      </c>
      <c r="P17" s="246" t="str">
        <f t="shared" si="7"/>
        <v>NO</v>
      </c>
      <c r="Q17" s="246" t="str">
        <f t="shared" si="0"/>
        <v>NO</v>
      </c>
      <c r="R17" s="6">
        <f t="shared" si="1"/>
        <v>0</v>
      </c>
      <c r="S17" s="9"/>
      <c r="T17" s="8"/>
      <c r="U17" s="8"/>
      <c r="V17" s="9"/>
      <c r="W17" s="9"/>
      <c r="AB17">
        <v>304</v>
      </c>
    </row>
    <row r="18" spans="1:29">
      <c r="A18" s="5">
        <v>9</v>
      </c>
      <c r="B18" s="9"/>
      <c r="C18" s="9"/>
      <c r="D18" s="237" t="str">
        <f>IF(C18="","",VLOOKUP(C18,'Product formulation'!B:E,4,FALSE))</f>
        <v/>
      </c>
      <c r="E18" s="98"/>
      <c r="F18" s="247">
        <f t="shared" si="2"/>
        <v>0</v>
      </c>
      <c r="G18" s="9"/>
      <c r="H18" s="9"/>
      <c r="I18" s="10" t="str">
        <f>IF(H18=Hoja2!$B$15,"Y","N")</f>
        <v>N</v>
      </c>
      <c r="J18" s="10" t="str">
        <f t="shared" si="3"/>
        <v>N</v>
      </c>
      <c r="K18" s="10" t="str">
        <f t="shared" si="4"/>
        <v>N</v>
      </c>
      <c r="L18" s="10" t="str">
        <f t="shared" si="5"/>
        <v>N</v>
      </c>
      <c r="M18" s="269">
        <f t="shared" si="8"/>
        <v>0</v>
      </c>
      <c r="N18" s="97"/>
      <c r="O18" s="246" t="str">
        <f t="shared" si="6"/>
        <v>NO</v>
      </c>
      <c r="P18" s="246" t="str">
        <f t="shared" si="7"/>
        <v>NO</v>
      </c>
      <c r="Q18" s="246" t="str">
        <f t="shared" si="0"/>
        <v>NO</v>
      </c>
      <c r="R18" s="6">
        <f t="shared" si="1"/>
        <v>0</v>
      </c>
      <c r="S18" s="9"/>
      <c r="T18" s="8"/>
      <c r="U18" s="8"/>
      <c r="V18" s="9"/>
      <c r="W18" s="9"/>
      <c r="AB18">
        <v>370</v>
      </c>
    </row>
    <row r="19" spans="1:29">
      <c r="A19" s="5">
        <v>10</v>
      </c>
      <c r="B19" s="9"/>
      <c r="C19" s="9"/>
      <c r="D19" s="237" t="str">
        <f>IF(C19="","",VLOOKUP(C19,'Product formulation'!B:E,4,FALSE))</f>
        <v/>
      </c>
      <c r="E19" s="98"/>
      <c r="F19" s="247">
        <f t="shared" si="2"/>
        <v>0</v>
      </c>
      <c r="G19" s="9"/>
      <c r="H19" s="9"/>
      <c r="I19" s="10" t="str">
        <f>IF(H19=Hoja2!$B$15,"Y","N")</f>
        <v>N</v>
      </c>
      <c r="J19" s="10" t="str">
        <f t="shared" si="3"/>
        <v>N</v>
      </c>
      <c r="K19" s="10" t="str">
        <f t="shared" si="4"/>
        <v>N</v>
      </c>
      <c r="L19" s="10" t="str">
        <f t="shared" si="5"/>
        <v>N</v>
      </c>
      <c r="M19" s="269">
        <f t="shared" si="8"/>
        <v>0</v>
      </c>
      <c r="N19" s="97"/>
      <c r="O19" s="246" t="str">
        <f t="shared" si="6"/>
        <v>NO</v>
      </c>
      <c r="P19" s="246" t="str">
        <f t="shared" si="7"/>
        <v>NO</v>
      </c>
      <c r="Q19" s="246" t="str">
        <f t="shared" si="0"/>
        <v>NO</v>
      </c>
      <c r="R19" s="6">
        <f t="shared" si="1"/>
        <v>0</v>
      </c>
      <c r="S19" s="9"/>
      <c r="T19" s="8"/>
      <c r="U19" s="8"/>
      <c r="V19" s="9"/>
      <c r="W19" s="9"/>
      <c r="AB19">
        <v>371</v>
      </c>
    </row>
    <row r="20" spans="1:29">
      <c r="A20" s="5">
        <v>11</v>
      </c>
      <c r="B20" s="9"/>
      <c r="C20" s="9"/>
      <c r="D20" s="237" t="str">
        <f>IF(C20="","",VLOOKUP(C20,'Product formulation'!B:E,4,FALSE))</f>
        <v/>
      </c>
      <c r="E20" s="98"/>
      <c r="F20" s="247">
        <f t="shared" si="2"/>
        <v>0</v>
      </c>
      <c r="G20" s="9"/>
      <c r="H20" s="9"/>
      <c r="I20" s="10" t="str">
        <f>IF(H20=Hoja2!$B$15,"Y","N")</f>
        <v>N</v>
      </c>
      <c r="J20" s="10" t="str">
        <f t="shared" si="3"/>
        <v>N</v>
      </c>
      <c r="K20" s="10" t="str">
        <f t="shared" si="4"/>
        <v>N</v>
      </c>
      <c r="L20" s="10" t="str">
        <f t="shared" si="5"/>
        <v>N</v>
      </c>
      <c r="M20" s="269">
        <f t="shared" si="8"/>
        <v>0</v>
      </c>
      <c r="N20" s="97"/>
      <c r="O20" s="246" t="str">
        <f t="shared" si="6"/>
        <v>NO</v>
      </c>
      <c r="P20" s="246" t="str">
        <f t="shared" si="7"/>
        <v>NO</v>
      </c>
      <c r="Q20" s="246" t="str">
        <f t="shared" si="0"/>
        <v>NO</v>
      </c>
      <c r="R20" s="6">
        <f t="shared" si="1"/>
        <v>0</v>
      </c>
      <c r="S20" s="9"/>
      <c r="T20" s="8"/>
      <c r="U20" s="8"/>
      <c r="V20" s="9"/>
      <c r="W20" s="9"/>
      <c r="AB20">
        <v>372</v>
      </c>
    </row>
    <row r="21" spans="1:29">
      <c r="A21" s="5">
        <v>12</v>
      </c>
      <c r="B21" s="9"/>
      <c r="C21" s="9"/>
      <c r="D21" s="237" t="str">
        <f>IF(C21="","",VLOOKUP(C21,'Product formulation'!B:E,4,FALSE))</f>
        <v/>
      </c>
      <c r="E21" s="98"/>
      <c r="F21" s="247">
        <f t="shared" si="2"/>
        <v>0</v>
      </c>
      <c r="G21" s="9"/>
      <c r="H21" s="9"/>
      <c r="I21" s="10" t="str">
        <f>IF(H21=Hoja2!$B$15,"Y","N")</f>
        <v>N</v>
      </c>
      <c r="J21" s="10" t="str">
        <f t="shared" si="3"/>
        <v>N</v>
      </c>
      <c r="K21" s="10" t="str">
        <f t="shared" si="4"/>
        <v>N</v>
      </c>
      <c r="L21" s="10" t="str">
        <f t="shared" si="5"/>
        <v>N</v>
      </c>
      <c r="M21" s="269">
        <f t="shared" si="8"/>
        <v>0</v>
      </c>
      <c r="N21" s="97"/>
      <c r="O21" s="246" t="str">
        <f t="shared" si="6"/>
        <v>NO</v>
      </c>
      <c r="P21" s="246" t="str">
        <f t="shared" si="7"/>
        <v>NO</v>
      </c>
      <c r="Q21" s="246" t="str">
        <f t="shared" si="0"/>
        <v>NO</v>
      </c>
      <c r="R21" s="6">
        <f t="shared" si="1"/>
        <v>0</v>
      </c>
      <c r="S21" s="9"/>
      <c r="T21" s="8"/>
      <c r="U21" s="8"/>
      <c r="V21" s="9"/>
      <c r="W21" s="9"/>
      <c r="AB21">
        <v>373</v>
      </c>
    </row>
    <row r="22" spans="1:29">
      <c r="A22" s="5">
        <v>13</v>
      </c>
      <c r="B22" s="9"/>
      <c r="C22" s="9"/>
      <c r="D22" s="237" t="str">
        <f>IF(C22="","",VLOOKUP(C22,'Product formulation'!B:E,4,FALSE))</f>
        <v/>
      </c>
      <c r="E22" s="98"/>
      <c r="F22" s="247">
        <f t="shared" si="2"/>
        <v>0</v>
      </c>
      <c r="G22" s="9"/>
      <c r="H22" s="9"/>
      <c r="I22" s="10" t="str">
        <f>IF(H22=Hoja2!$B$15,"Y","N")</f>
        <v>N</v>
      </c>
      <c r="J22" s="10" t="str">
        <f t="shared" si="3"/>
        <v>N</v>
      </c>
      <c r="K22" s="10" t="str">
        <f t="shared" si="4"/>
        <v>N</v>
      </c>
      <c r="L22" s="10" t="str">
        <f t="shared" si="5"/>
        <v>N</v>
      </c>
      <c r="M22" s="269">
        <f t="shared" si="8"/>
        <v>0</v>
      </c>
      <c r="N22" s="97"/>
      <c r="O22" s="246" t="str">
        <f t="shared" si="6"/>
        <v>NO</v>
      </c>
      <c r="P22" s="246" t="str">
        <f t="shared" si="7"/>
        <v>NO</v>
      </c>
      <c r="Q22" s="246" t="str">
        <f t="shared" si="0"/>
        <v>NO</v>
      </c>
      <c r="R22" s="6">
        <f t="shared" si="1"/>
        <v>0</v>
      </c>
      <c r="S22" s="9"/>
      <c r="T22" s="8"/>
      <c r="U22" s="8"/>
      <c r="V22" s="9"/>
      <c r="W22" s="9"/>
      <c r="AB22">
        <v>317</v>
      </c>
    </row>
    <row r="23" spans="1:29">
      <c r="A23" s="5">
        <v>14</v>
      </c>
      <c r="B23" s="9"/>
      <c r="C23" s="9"/>
      <c r="D23" s="237" t="str">
        <f>IF(C23="","",VLOOKUP(C23,'Product formulation'!B:E,4,FALSE))</f>
        <v/>
      </c>
      <c r="E23" s="98"/>
      <c r="F23" s="247">
        <f t="shared" si="2"/>
        <v>0</v>
      </c>
      <c r="G23" s="9"/>
      <c r="H23" s="9"/>
      <c r="I23" s="10" t="str">
        <f>IF(H23=Hoja2!$B$15,"Y","N")</f>
        <v>N</v>
      </c>
      <c r="J23" s="10" t="str">
        <f t="shared" si="3"/>
        <v>N</v>
      </c>
      <c r="K23" s="10" t="str">
        <f t="shared" si="4"/>
        <v>N</v>
      </c>
      <c r="L23" s="10" t="str">
        <f t="shared" si="5"/>
        <v>N</v>
      </c>
      <c r="M23" s="269">
        <f t="shared" si="8"/>
        <v>0</v>
      </c>
      <c r="N23" s="97"/>
      <c r="O23" s="246" t="str">
        <f t="shared" si="6"/>
        <v>NO</v>
      </c>
      <c r="P23" s="246" t="str">
        <f t="shared" si="7"/>
        <v>NO</v>
      </c>
      <c r="Q23" s="246" t="str">
        <f t="shared" si="0"/>
        <v>NO</v>
      </c>
      <c r="R23" s="6">
        <f t="shared" si="1"/>
        <v>0</v>
      </c>
      <c r="S23" s="9"/>
      <c r="T23" s="8"/>
      <c r="U23" s="8"/>
      <c r="V23" s="9"/>
      <c r="W23" s="9"/>
      <c r="AB23">
        <v>334</v>
      </c>
    </row>
    <row r="24" spans="1:29">
      <c r="A24" s="5">
        <v>15</v>
      </c>
      <c r="B24" s="9"/>
      <c r="C24" s="9"/>
      <c r="D24" s="237" t="str">
        <f>IF(C24="","",VLOOKUP(C24,'Product formulation'!B:E,4,FALSE))</f>
        <v/>
      </c>
      <c r="E24" s="98"/>
      <c r="F24" s="247">
        <f t="shared" si="2"/>
        <v>0</v>
      </c>
      <c r="G24" s="9"/>
      <c r="H24" s="9"/>
      <c r="I24" s="10" t="str">
        <f>IF(H24=Hoja2!$B$15,"Y","N")</f>
        <v>N</v>
      </c>
      <c r="J24" s="10" t="str">
        <f t="shared" si="3"/>
        <v>N</v>
      </c>
      <c r="K24" s="10" t="str">
        <f t="shared" si="4"/>
        <v>N</v>
      </c>
      <c r="L24" s="10" t="str">
        <f t="shared" si="5"/>
        <v>N</v>
      </c>
      <c r="M24" s="269">
        <f t="shared" si="8"/>
        <v>0</v>
      </c>
      <c r="N24" s="97"/>
      <c r="O24" s="246" t="str">
        <f t="shared" si="6"/>
        <v>NO</v>
      </c>
      <c r="P24" s="246" t="str">
        <f t="shared" si="7"/>
        <v>NO</v>
      </c>
      <c r="Q24" s="246" t="str">
        <f t="shared" si="0"/>
        <v>NO</v>
      </c>
      <c r="R24" s="6">
        <f t="shared" si="1"/>
        <v>0</v>
      </c>
      <c r="S24" s="9"/>
      <c r="T24" s="8"/>
      <c r="U24" s="8"/>
      <c r="V24" s="9"/>
      <c r="W24" s="9"/>
      <c r="AB24">
        <v>400</v>
      </c>
    </row>
    <row r="25" spans="1:29">
      <c r="A25" s="5">
        <v>16</v>
      </c>
      <c r="B25" s="9"/>
      <c r="C25" s="9"/>
      <c r="D25" s="237" t="str">
        <f>IF(C25="","",VLOOKUP(C25,'Product formulation'!B:E,4,FALSE))</f>
        <v/>
      </c>
      <c r="E25" s="98"/>
      <c r="F25" s="247">
        <f t="shared" si="2"/>
        <v>0</v>
      </c>
      <c r="G25" s="9"/>
      <c r="H25" s="9"/>
      <c r="I25" s="10" t="str">
        <f>IF(H25=Hoja2!$B$15,"Y","N")</f>
        <v>N</v>
      </c>
      <c r="J25" s="10" t="str">
        <f t="shared" si="3"/>
        <v>N</v>
      </c>
      <c r="K25" s="10" t="str">
        <f t="shared" si="4"/>
        <v>N</v>
      </c>
      <c r="L25" s="10" t="str">
        <f t="shared" si="5"/>
        <v>N</v>
      </c>
      <c r="M25" s="269">
        <f t="shared" si="8"/>
        <v>0</v>
      </c>
      <c r="N25" s="97"/>
      <c r="O25" s="246" t="str">
        <f t="shared" si="6"/>
        <v>NO</v>
      </c>
      <c r="P25" s="246" t="str">
        <f t="shared" si="7"/>
        <v>NO</v>
      </c>
      <c r="Q25" s="246" t="str">
        <f t="shared" si="0"/>
        <v>NO</v>
      </c>
      <c r="R25" s="6">
        <f t="shared" si="1"/>
        <v>0</v>
      </c>
      <c r="S25" s="9"/>
      <c r="T25" s="8"/>
      <c r="U25" s="8"/>
      <c r="V25" s="9"/>
      <c r="W25" s="9"/>
      <c r="AB25">
        <v>410</v>
      </c>
    </row>
    <row r="26" spans="1:29">
      <c r="A26" s="5">
        <v>17</v>
      </c>
      <c r="B26" s="9"/>
      <c r="C26" s="9"/>
      <c r="D26" s="237" t="str">
        <f>IF(C26="","",VLOOKUP(C26,'Product formulation'!B:E,4,FALSE))</f>
        <v/>
      </c>
      <c r="E26" s="98"/>
      <c r="F26" s="247">
        <f t="shared" si="2"/>
        <v>0</v>
      </c>
      <c r="G26" s="9"/>
      <c r="H26" s="9"/>
      <c r="I26" s="10" t="str">
        <f>IF(H26=Hoja2!$B$15,"Y","N")</f>
        <v>N</v>
      </c>
      <c r="J26" s="10" t="str">
        <f t="shared" si="3"/>
        <v>N</v>
      </c>
      <c r="K26" s="10" t="str">
        <f t="shared" si="4"/>
        <v>N</v>
      </c>
      <c r="L26" s="10" t="str">
        <f t="shared" si="5"/>
        <v>N</v>
      </c>
      <c r="M26" s="269">
        <f t="shared" si="8"/>
        <v>0</v>
      </c>
      <c r="N26" s="97"/>
      <c r="O26" s="246" t="str">
        <f t="shared" si="6"/>
        <v>NO</v>
      </c>
      <c r="P26" s="246" t="str">
        <f t="shared" si="7"/>
        <v>NO</v>
      </c>
      <c r="Q26" s="246" t="str">
        <f t="shared" si="0"/>
        <v>NO</v>
      </c>
      <c r="R26" s="6">
        <f t="shared" si="1"/>
        <v>0</v>
      </c>
      <c r="S26" s="9"/>
      <c r="T26" s="8"/>
      <c r="U26" s="8"/>
      <c r="V26" s="9"/>
      <c r="W26" s="9"/>
      <c r="AB26">
        <v>411</v>
      </c>
    </row>
    <row r="27" spans="1:29">
      <c r="A27" s="5">
        <v>18</v>
      </c>
      <c r="B27" s="9"/>
      <c r="C27" s="9"/>
      <c r="D27" s="237" t="str">
        <f>IF(C27="","",VLOOKUP(C27,'Product formulation'!B:E,4,FALSE))</f>
        <v/>
      </c>
      <c r="E27" s="98"/>
      <c r="F27" s="247">
        <f t="shared" si="2"/>
        <v>0</v>
      </c>
      <c r="G27" s="9"/>
      <c r="H27" s="9"/>
      <c r="I27" s="10" t="str">
        <f>IF(H27=Hoja2!$B$15,"Y","N")</f>
        <v>N</v>
      </c>
      <c r="J27" s="10" t="str">
        <f t="shared" si="3"/>
        <v>N</v>
      </c>
      <c r="K27" s="10" t="str">
        <f t="shared" si="4"/>
        <v>N</v>
      </c>
      <c r="L27" s="10" t="str">
        <f t="shared" si="5"/>
        <v>N</v>
      </c>
      <c r="M27" s="269">
        <f t="shared" si="8"/>
        <v>0</v>
      </c>
      <c r="N27" s="97"/>
      <c r="O27" s="246" t="str">
        <f t="shared" si="6"/>
        <v>NO</v>
      </c>
      <c r="P27" s="246" t="str">
        <f t="shared" si="7"/>
        <v>NO</v>
      </c>
      <c r="Q27" s="246" t="str">
        <f t="shared" si="0"/>
        <v>NO</v>
      </c>
      <c r="R27" s="6">
        <f t="shared" si="1"/>
        <v>0</v>
      </c>
      <c r="S27" s="9"/>
      <c r="T27" s="8"/>
      <c r="U27" s="8"/>
      <c r="V27" s="9"/>
      <c r="W27" s="9"/>
      <c r="AB27">
        <v>412</v>
      </c>
    </row>
    <row r="28" spans="1:29">
      <c r="A28" s="5">
        <v>19</v>
      </c>
      <c r="B28" s="9"/>
      <c r="C28" s="9"/>
      <c r="D28" s="237" t="str">
        <f>IF(C28="","",VLOOKUP(C28,'Product formulation'!B:E,4,FALSE))</f>
        <v/>
      </c>
      <c r="E28" s="98"/>
      <c r="F28" s="247">
        <f t="shared" si="2"/>
        <v>0</v>
      </c>
      <c r="G28" s="9"/>
      <c r="H28" s="9"/>
      <c r="I28" s="10" t="str">
        <f>IF(H28=Hoja2!$B$15,"Y","N")</f>
        <v>N</v>
      </c>
      <c r="J28" s="10" t="str">
        <f t="shared" si="3"/>
        <v>N</v>
      </c>
      <c r="K28" s="10" t="str">
        <f t="shared" si="4"/>
        <v>N</v>
      </c>
      <c r="L28" s="10" t="str">
        <f t="shared" si="5"/>
        <v>N</v>
      </c>
      <c r="M28" s="269">
        <f t="shared" si="8"/>
        <v>0</v>
      </c>
      <c r="N28" s="97"/>
      <c r="O28" s="246" t="str">
        <f t="shared" si="6"/>
        <v>NO</v>
      </c>
      <c r="P28" s="246" t="str">
        <f t="shared" si="7"/>
        <v>NO</v>
      </c>
      <c r="Q28" s="246" t="str">
        <f t="shared" si="0"/>
        <v>NO</v>
      </c>
      <c r="R28" s="6">
        <f t="shared" si="1"/>
        <v>0</v>
      </c>
      <c r="S28" s="9"/>
      <c r="T28" s="8"/>
      <c r="U28" s="8"/>
      <c r="V28" s="9"/>
      <c r="W28" s="9"/>
      <c r="AB28">
        <v>413</v>
      </c>
    </row>
    <row r="29" spans="1:29">
      <c r="A29" s="5">
        <v>20</v>
      </c>
      <c r="B29" s="9"/>
      <c r="C29" s="9"/>
      <c r="D29" s="237" t="str">
        <f>IF(C29="","",VLOOKUP(C29,'Product formulation'!B:E,4,FALSE))</f>
        <v/>
      </c>
      <c r="E29" s="98"/>
      <c r="F29" s="247">
        <f t="shared" si="2"/>
        <v>0</v>
      </c>
      <c r="G29" s="9"/>
      <c r="H29" s="9"/>
      <c r="I29" s="10" t="str">
        <f>IF(H29=Hoja2!$B$15,"Y","N")</f>
        <v>N</v>
      </c>
      <c r="J29" s="10" t="str">
        <f t="shared" si="3"/>
        <v>N</v>
      </c>
      <c r="K29" s="10" t="str">
        <f t="shared" si="4"/>
        <v>N</v>
      </c>
      <c r="L29" s="10" t="str">
        <f t="shared" si="5"/>
        <v>N</v>
      </c>
      <c r="M29" s="269">
        <f t="shared" si="8"/>
        <v>0</v>
      </c>
      <c r="N29" s="97"/>
      <c r="O29" s="246" t="str">
        <f t="shared" si="6"/>
        <v>NO</v>
      </c>
      <c r="P29" s="246" t="str">
        <f t="shared" si="7"/>
        <v>NO</v>
      </c>
      <c r="Q29" s="246" t="str">
        <f t="shared" si="0"/>
        <v>NO</v>
      </c>
      <c r="R29" s="6">
        <f t="shared" si="1"/>
        <v>0</v>
      </c>
      <c r="S29" s="9"/>
      <c r="T29" s="8"/>
      <c r="U29" s="8"/>
      <c r="V29" s="9"/>
      <c r="W29" s="9"/>
      <c r="AB29">
        <v>420</v>
      </c>
    </row>
    <row r="30" spans="1:29">
      <c r="A30" s="5">
        <v>21</v>
      </c>
      <c r="B30" s="9"/>
      <c r="C30" s="9"/>
      <c r="D30" s="237" t="str">
        <f>IF(C30="","",VLOOKUP(C30,'Product formulation'!B:E,4,FALSE))</f>
        <v/>
      </c>
      <c r="E30" s="98"/>
      <c r="F30" s="247">
        <f t="shared" si="2"/>
        <v>0</v>
      </c>
      <c r="G30" s="9"/>
      <c r="H30" s="9"/>
      <c r="I30" s="10" t="str">
        <f>IF(H30=Hoja2!$B$15,"Y","N")</f>
        <v>N</v>
      </c>
      <c r="J30" s="10" t="str">
        <f t="shared" si="3"/>
        <v>N</v>
      </c>
      <c r="K30" s="10" t="str">
        <f t="shared" si="4"/>
        <v>N</v>
      </c>
      <c r="L30" s="10" t="str">
        <f t="shared" si="5"/>
        <v>N</v>
      </c>
      <c r="M30" s="269">
        <f t="shared" si="8"/>
        <v>0</v>
      </c>
      <c r="N30" s="97"/>
      <c r="O30" s="246" t="str">
        <f t="shared" si="6"/>
        <v>NO</v>
      </c>
      <c r="P30" s="246" t="str">
        <f t="shared" si="7"/>
        <v>NO</v>
      </c>
      <c r="Q30" s="246" t="str">
        <f t="shared" si="0"/>
        <v>NO</v>
      </c>
      <c r="R30" s="6">
        <f t="shared" si="1"/>
        <v>0</v>
      </c>
      <c r="S30" s="9"/>
      <c r="T30" s="8"/>
      <c r="U30" s="8"/>
      <c r="V30" s="9"/>
      <c r="W30" s="9"/>
      <c r="AB30">
        <v>340</v>
      </c>
      <c r="AC30"/>
    </row>
    <row r="31" spans="1:29">
      <c r="A31" s="5">
        <v>22</v>
      </c>
      <c r="B31" s="9"/>
      <c r="C31" s="9"/>
      <c r="D31" s="237" t="str">
        <f>IF(C31="","",VLOOKUP(C31,'Product formulation'!B:E,4,FALSE))</f>
        <v/>
      </c>
      <c r="E31" s="98"/>
      <c r="F31" s="247">
        <f t="shared" si="2"/>
        <v>0</v>
      </c>
      <c r="G31" s="9"/>
      <c r="H31" s="9"/>
      <c r="I31" s="10" t="str">
        <f>IF(H31=Hoja2!$B$15,"Y","N")</f>
        <v>N</v>
      </c>
      <c r="J31" s="10" t="str">
        <f t="shared" si="3"/>
        <v>N</v>
      </c>
      <c r="K31" s="10" t="str">
        <f t="shared" si="4"/>
        <v>N</v>
      </c>
      <c r="L31" s="10" t="str">
        <f t="shared" si="5"/>
        <v>N</v>
      </c>
      <c r="M31" s="269">
        <f t="shared" si="8"/>
        <v>0</v>
      </c>
      <c r="N31" s="97"/>
      <c r="O31" s="246" t="str">
        <f t="shared" si="6"/>
        <v>NO</v>
      </c>
      <c r="P31" s="246" t="str">
        <f t="shared" si="7"/>
        <v>NO</v>
      </c>
      <c r="Q31" s="246" t="str">
        <f t="shared" si="0"/>
        <v>NO</v>
      </c>
      <c r="R31" s="6">
        <f t="shared" si="1"/>
        <v>0</v>
      </c>
      <c r="S31" s="9"/>
      <c r="T31" s="8"/>
      <c r="U31" s="8"/>
      <c r="V31" s="9"/>
      <c r="W31" s="9"/>
      <c r="AB31">
        <v>341</v>
      </c>
    </row>
    <row r="32" spans="1:29">
      <c r="A32" s="5">
        <v>23</v>
      </c>
      <c r="B32" s="9"/>
      <c r="C32" s="9"/>
      <c r="D32" s="237" t="str">
        <f>IF(C32="","",VLOOKUP(C32,'Product formulation'!B:E,4,FALSE))</f>
        <v/>
      </c>
      <c r="E32" s="98"/>
      <c r="F32" s="247">
        <f t="shared" si="2"/>
        <v>0</v>
      </c>
      <c r="G32" s="9"/>
      <c r="H32" s="9"/>
      <c r="I32" s="10" t="str">
        <f>IF(H32=Hoja2!$B$15,"Y","N")</f>
        <v>N</v>
      </c>
      <c r="J32" s="10" t="str">
        <f t="shared" si="3"/>
        <v>N</v>
      </c>
      <c r="K32" s="10" t="str">
        <f t="shared" si="4"/>
        <v>N</v>
      </c>
      <c r="L32" s="10" t="str">
        <f t="shared" si="5"/>
        <v>N</v>
      </c>
      <c r="M32" s="269">
        <f t="shared" si="8"/>
        <v>0</v>
      </c>
      <c r="N32" s="97"/>
      <c r="O32" s="246" t="str">
        <f t="shared" si="6"/>
        <v>NO</v>
      </c>
      <c r="P32" s="246" t="str">
        <f t="shared" si="7"/>
        <v>NO</v>
      </c>
      <c r="Q32" s="246" t="str">
        <f t="shared" si="0"/>
        <v>NO</v>
      </c>
      <c r="R32" s="6">
        <f t="shared" si="1"/>
        <v>0</v>
      </c>
      <c r="S32" s="9"/>
      <c r="T32" s="8"/>
      <c r="U32" s="8"/>
      <c r="V32" s="9"/>
      <c r="W32" s="9"/>
      <c r="AB32">
        <v>350</v>
      </c>
    </row>
    <row r="33" spans="1:28">
      <c r="A33" s="5">
        <v>24</v>
      </c>
      <c r="B33" s="9"/>
      <c r="C33" s="9"/>
      <c r="D33" s="237" t="str">
        <f>IF(C33="","",VLOOKUP(C33,'Product formulation'!B:E,4,FALSE))</f>
        <v/>
      </c>
      <c r="E33" s="98"/>
      <c r="F33" s="247">
        <f t="shared" si="2"/>
        <v>0</v>
      </c>
      <c r="G33" s="9"/>
      <c r="H33" s="9"/>
      <c r="I33" s="10" t="str">
        <f>IF(H33=Hoja2!$B$15,"Y","N")</f>
        <v>N</v>
      </c>
      <c r="J33" s="10" t="str">
        <f t="shared" si="3"/>
        <v>N</v>
      </c>
      <c r="K33" s="10" t="str">
        <f t="shared" si="4"/>
        <v>N</v>
      </c>
      <c r="L33" s="10" t="str">
        <f t="shared" si="5"/>
        <v>N</v>
      </c>
      <c r="M33" s="269">
        <f t="shared" si="8"/>
        <v>0</v>
      </c>
      <c r="N33" s="97"/>
      <c r="O33" s="246" t="str">
        <f t="shared" si="6"/>
        <v>NO</v>
      </c>
      <c r="P33" s="246" t="str">
        <f t="shared" si="7"/>
        <v>NO</v>
      </c>
      <c r="Q33" s="246" t="str">
        <f t="shared" si="0"/>
        <v>NO</v>
      </c>
      <c r="R33" s="6">
        <f t="shared" si="1"/>
        <v>0</v>
      </c>
      <c r="S33" s="9"/>
      <c r="T33" s="8"/>
      <c r="U33" s="8"/>
      <c r="V33" s="9"/>
      <c r="W33" s="9"/>
      <c r="AB33">
        <v>351</v>
      </c>
    </row>
    <row r="34" spans="1:28">
      <c r="A34" s="5">
        <v>25</v>
      </c>
      <c r="B34" s="9"/>
      <c r="C34" s="9"/>
      <c r="D34" s="237" t="str">
        <f>IF(C34="","",VLOOKUP(C34,'Product formulation'!B:E,4,FALSE))</f>
        <v/>
      </c>
      <c r="E34" s="98"/>
      <c r="F34" s="247">
        <f t="shared" si="2"/>
        <v>0</v>
      </c>
      <c r="G34" s="9"/>
      <c r="H34" s="9"/>
      <c r="I34" s="10" t="str">
        <f>IF(H34=Hoja2!$B$15,"Y","N")</f>
        <v>N</v>
      </c>
      <c r="J34" s="10" t="str">
        <f t="shared" si="3"/>
        <v>N</v>
      </c>
      <c r="K34" s="10" t="str">
        <f t="shared" si="4"/>
        <v>N</v>
      </c>
      <c r="L34" s="10" t="str">
        <f t="shared" si="5"/>
        <v>N</v>
      </c>
      <c r="M34" s="269">
        <f t="shared" si="8"/>
        <v>0</v>
      </c>
      <c r="N34" s="97"/>
      <c r="O34" s="246" t="str">
        <f t="shared" si="6"/>
        <v>NO</v>
      </c>
      <c r="P34" s="246" t="str">
        <f t="shared" si="7"/>
        <v>NO</v>
      </c>
      <c r="Q34" s="246" t="str">
        <f t="shared" si="0"/>
        <v>NO</v>
      </c>
      <c r="R34" s="6">
        <f t="shared" si="1"/>
        <v>0</v>
      </c>
      <c r="S34" s="9"/>
      <c r="T34" s="8"/>
      <c r="U34" s="8"/>
      <c r="V34" s="9"/>
      <c r="W34" s="9"/>
      <c r="AB34">
        <v>360</v>
      </c>
    </row>
    <row r="35" spans="1:28">
      <c r="A35" s="5">
        <v>26</v>
      </c>
      <c r="B35" s="9"/>
      <c r="C35" s="9"/>
      <c r="D35" s="237" t="str">
        <f>IF(C35="","",VLOOKUP(C35,'Product formulation'!B:E,4,FALSE))</f>
        <v/>
      </c>
      <c r="E35" s="98"/>
      <c r="F35" s="247">
        <f t="shared" si="2"/>
        <v>0</v>
      </c>
      <c r="G35" s="9"/>
      <c r="H35" s="9"/>
      <c r="I35" s="10" t="str">
        <f>IF(H35=Hoja2!$B$15,"Y","N")</f>
        <v>N</v>
      </c>
      <c r="J35" s="10" t="str">
        <f t="shared" si="3"/>
        <v>N</v>
      </c>
      <c r="K35" s="10" t="str">
        <f t="shared" si="4"/>
        <v>N</v>
      </c>
      <c r="L35" s="10" t="str">
        <f t="shared" si="5"/>
        <v>N</v>
      </c>
      <c r="M35" s="269">
        <f t="shared" si="8"/>
        <v>0</v>
      </c>
      <c r="N35" s="97"/>
      <c r="O35" s="246" t="str">
        <f t="shared" si="6"/>
        <v>NO</v>
      </c>
      <c r="P35" s="246" t="str">
        <f t="shared" si="7"/>
        <v>NO</v>
      </c>
      <c r="Q35" s="246" t="str">
        <f t="shared" si="0"/>
        <v>NO</v>
      </c>
      <c r="R35" s="6">
        <f t="shared" si="1"/>
        <v>0</v>
      </c>
      <c r="S35" s="9"/>
      <c r="T35" s="8"/>
      <c r="U35" s="8"/>
      <c r="V35" s="9"/>
      <c r="W35" s="9"/>
      <c r="AB35">
        <v>361</v>
      </c>
    </row>
    <row r="36" spans="1:28">
      <c r="A36" s="5">
        <v>27</v>
      </c>
      <c r="B36" s="9"/>
      <c r="C36" s="9"/>
      <c r="D36" s="237" t="str">
        <f>IF(C36="","",VLOOKUP(C36,'Product formulation'!B:E,4,FALSE))</f>
        <v/>
      </c>
      <c r="E36" s="98"/>
      <c r="F36" s="247">
        <f t="shared" si="2"/>
        <v>0</v>
      </c>
      <c r="G36" s="9"/>
      <c r="H36" s="9"/>
      <c r="I36" s="10" t="str">
        <f>IF(H36=Hoja2!$B$15,"Y","N")</f>
        <v>N</v>
      </c>
      <c r="J36" s="10" t="str">
        <f t="shared" si="3"/>
        <v>N</v>
      </c>
      <c r="K36" s="10" t="str">
        <f t="shared" si="4"/>
        <v>N</v>
      </c>
      <c r="L36" s="10" t="str">
        <f t="shared" si="5"/>
        <v>N</v>
      </c>
      <c r="M36" s="269">
        <f t="shared" si="8"/>
        <v>0</v>
      </c>
      <c r="N36" s="97"/>
      <c r="O36" s="246" t="str">
        <f t="shared" si="6"/>
        <v>NO</v>
      </c>
      <c r="P36" s="246" t="str">
        <f t="shared" si="7"/>
        <v>NO</v>
      </c>
      <c r="Q36" s="246" t="str">
        <f t="shared" si="0"/>
        <v>NO</v>
      </c>
      <c r="R36" s="6">
        <f t="shared" si="1"/>
        <v>0</v>
      </c>
      <c r="S36" s="9"/>
      <c r="T36" s="8"/>
      <c r="U36" s="8"/>
      <c r="V36" s="9"/>
      <c r="W36" s="9"/>
      <c r="AB36">
        <v>362</v>
      </c>
    </row>
    <row r="37" spans="1:28">
      <c r="A37" s="5">
        <v>28</v>
      </c>
      <c r="B37" s="9"/>
      <c r="C37" s="9"/>
      <c r="D37" s="237" t="str">
        <f>IF(C37="","",VLOOKUP(C37,'Product formulation'!B:E,4,FALSE))</f>
        <v/>
      </c>
      <c r="E37" s="98"/>
      <c r="F37" s="247">
        <f t="shared" si="2"/>
        <v>0</v>
      </c>
      <c r="G37" s="9"/>
      <c r="H37" s="9"/>
      <c r="I37" s="10" t="str">
        <f>IF(H37=Hoja2!$B$15,"Y","N")</f>
        <v>N</v>
      </c>
      <c r="J37" s="10" t="str">
        <f t="shared" si="3"/>
        <v>N</v>
      </c>
      <c r="K37" s="10" t="str">
        <f t="shared" si="4"/>
        <v>N</v>
      </c>
      <c r="L37" s="10" t="str">
        <f t="shared" si="5"/>
        <v>N</v>
      </c>
      <c r="M37" s="269">
        <f t="shared" si="8"/>
        <v>0</v>
      </c>
      <c r="N37" s="97"/>
      <c r="O37" s="246" t="str">
        <f t="shared" si="6"/>
        <v>NO</v>
      </c>
      <c r="P37" s="246" t="str">
        <f t="shared" si="7"/>
        <v>NO</v>
      </c>
      <c r="Q37" s="246" t="str">
        <f t="shared" si="0"/>
        <v>NO</v>
      </c>
      <c r="R37" s="6">
        <f t="shared" si="1"/>
        <v>0</v>
      </c>
      <c r="S37" s="9"/>
      <c r="T37" s="8"/>
      <c r="U37" s="8"/>
      <c r="V37" s="9"/>
      <c r="W37" s="9"/>
    </row>
    <row r="38" spans="1:28">
      <c r="A38" s="5">
        <v>29</v>
      </c>
      <c r="B38" s="9"/>
      <c r="C38" s="9"/>
      <c r="D38" s="237" t="str">
        <f>IF(C38="","",VLOOKUP(C38,'Product formulation'!B:E,4,FALSE))</f>
        <v/>
      </c>
      <c r="E38" s="98"/>
      <c r="F38" s="247">
        <f t="shared" si="2"/>
        <v>0</v>
      </c>
      <c r="G38" s="9"/>
      <c r="H38" s="9"/>
      <c r="I38" s="10" t="str">
        <f>IF(H38=Hoja2!$B$15,"Y","N")</f>
        <v>N</v>
      </c>
      <c r="J38" s="10" t="str">
        <f t="shared" si="3"/>
        <v>N</v>
      </c>
      <c r="K38" s="10" t="str">
        <f t="shared" si="4"/>
        <v>N</v>
      </c>
      <c r="L38" s="10" t="str">
        <f t="shared" si="5"/>
        <v>N</v>
      </c>
      <c r="M38" s="269">
        <f t="shared" si="8"/>
        <v>0</v>
      </c>
      <c r="N38" s="97"/>
      <c r="O38" s="246" t="str">
        <f t="shared" si="6"/>
        <v>NO</v>
      </c>
      <c r="P38" s="246" t="str">
        <f t="shared" si="7"/>
        <v>NO</v>
      </c>
      <c r="Q38" s="246" t="str">
        <f t="shared" si="0"/>
        <v>NO</v>
      </c>
      <c r="R38" s="6">
        <f t="shared" si="1"/>
        <v>0</v>
      </c>
      <c r="S38" s="9"/>
      <c r="T38" s="8"/>
      <c r="U38" s="8"/>
      <c r="V38" s="9"/>
      <c r="W38" s="9"/>
    </row>
    <row r="39" spans="1:28">
      <c r="A39" s="5">
        <v>30</v>
      </c>
      <c r="B39" s="9"/>
      <c r="C39" s="9"/>
      <c r="D39" s="237" t="str">
        <f>IF(C39="","",VLOOKUP(C39,'Product formulation'!B:E,4,FALSE))</f>
        <v/>
      </c>
      <c r="E39" s="98"/>
      <c r="F39" s="247">
        <f t="shared" si="2"/>
        <v>0</v>
      </c>
      <c r="G39" s="9"/>
      <c r="H39" s="9"/>
      <c r="I39" s="10" t="str">
        <f>IF(H39=Hoja2!$B$15,"Y","N")</f>
        <v>N</v>
      </c>
      <c r="J39" s="10" t="str">
        <f t="shared" si="3"/>
        <v>N</v>
      </c>
      <c r="K39" s="10" t="str">
        <f t="shared" si="4"/>
        <v>N</v>
      </c>
      <c r="L39" s="10" t="str">
        <f t="shared" si="5"/>
        <v>N</v>
      </c>
      <c r="M39" s="269">
        <f t="shared" si="8"/>
        <v>0</v>
      </c>
      <c r="N39" s="97"/>
      <c r="O39" s="246" t="str">
        <f t="shared" si="6"/>
        <v>NO</v>
      </c>
      <c r="P39" s="246" t="str">
        <f t="shared" si="7"/>
        <v>NO</v>
      </c>
      <c r="Q39" s="246" t="str">
        <f t="shared" si="0"/>
        <v>NO</v>
      </c>
      <c r="R39" s="6">
        <f t="shared" si="1"/>
        <v>0</v>
      </c>
      <c r="S39" s="9"/>
      <c r="T39" s="8"/>
      <c r="U39" s="8"/>
      <c r="V39" s="9"/>
      <c r="W39" s="9"/>
    </row>
    <row r="40" spans="1:28">
      <c r="A40" s="5">
        <v>31</v>
      </c>
      <c r="B40" s="9"/>
      <c r="C40" s="9"/>
      <c r="D40" s="237" t="str">
        <f>IF(C40="","",VLOOKUP(C40,'Product formulation'!B:E,4,FALSE))</f>
        <v/>
      </c>
      <c r="E40" s="98"/>
      <c r="F40" s="247">
        <f t="shared" si="2"/>
        <v>0</v>
      </c>
      <c r="G40" s="9"/>
      <c r="H40" s="9"/>
      <c r="I40" s="10" t="str">
        <f>IF(H40=Hoja2!$B$15,"Y","N")</f>
        <v>N</v>
      </c>
      <c r="J40" s="10" t="str">
        <f t="shared" si="3"/>
        <v>N</v>
      </c>
      <c r="K40" s="10" t="str">
        <f t="shared" si="4"/>
        <v>N</v>
      </c>
      <c r="L40" s="10" t="str">
        <f t="shared" si="5"/>
        <v>N</v>
      </c>
      <c r="M40" s="269">
        <f t="shared" si="8"/>
        <v>0</v>
      </c>
      <c r="N40" s="97"/>
      <c r="O40" s="246" t="str">
        <f t="shared" si="6"/>
        <v>NO</v>
      </c>
      <c r="P40" s="246" t="str">
        <f t="shared" si="7"/>
        <v>NO</v>
      </c>
      <c r="Q40" s="246" t="str">
        <f t="shared" si="0"/>
        <v>NO</v>
      </c>
      <c r="R40" s="6">
        <f t="shared" si="1"/>
        <v>0</v>
      </c>
      <c r="S40" s="9"/>
      <c r="T40" s="8"/>
      <c r="U40" s="8"/>
      <c r="V40" s="9"/>
      <c r="W40" s="9"/>
    </row>
    <row r="41" spans="1:28">
      <c r="A41" s="5">
        <v>32</v>
      </c>
      <c r="B41" s="9"/>
      <c r="C41" s="9"/>
      <c r="D41" s="237" t="str">
        <f>IF(C41="","",VLOOKUP(C41,'Product formulation'!B:E,4,FALSE))</f>
        <v/>
      </c>
      <c r="E41" s="98"/>
      <c r="F41" s="247">
        <f t="shared" si="2"/>
        <v>0</v>
      </c>
      <c r="G41" s="9"/>
      <c r="H41" s="9"/>
      <c r="I41" s="10" t="str">
        <f>IF(H41=Hoja2!$B$15,"Y","N")</f>
        <v>N</v>
      </c>
      <c r="J41" s="10" t="str">
        <f t="shared" si="3"/>
        <v>N</v>
      </c>
      <c r="K41" s="10" t="str">
        <f t="shared" si="4"/>
        <v>N</v>
      </c>
      <c r="L41" s="10" t="str">
        <f t="shared" si="5"/>
        <v>N</v>
      </c>
      <c r="M41" s="269">
        <f t="shared" si="8"/>
        <v>0</v>
      </c>
      <c r="N41" s="97"/>
      <c r="O41" s="246" t="str">
        <f t="shared" si="6"/>
        <v>NO</v>
      </c>
      <c r="P41" s="246" t="str">
        <f t="shared" si="7"/>
        <v>NO</v>
      </c>
      <c r="Q41" s="246" t="str">
        <f t="shared" si="0"/>
        <v>NO</v>
      </c>
      <c r="R41" s="6">
        <f t="shared" si="1"/>
        <v>0</v>
      </c>
      <c r="S41" s="9"/>
      <c r="T41" s="8"/>
      <c r="U41" s="8"/>
      <c r="V41" s="9"/>
      <c r="W41" s="9"/>
    </row>
    <row r="42" spans="1:28">
      <c r="A42" s="5">
        <v>33</v>
      </c>
      <c r="B42" s="9"/>
      <c r="C42" s="9"/>
      <c r="D42" s="237" t="str">
        <f>IF(C42="","",VLOOKUP(C42,'Product formulation'!B:E,4,FALSE))</f>
        <v/>
      </c>
      <c r="E42" s="98"/>
      <c r="F42" s="247">
        <f t="shared" si="2"/>
        <v>0</v>
      </c>
      <c r="G42" s="9"/>
      <c r="H42" s="9"/>
      <c r="I42" s="10" t="str">
        <f>IF(H42=Hoja2!$B$15,"Y","N")</f>
        <v>N</v>
      </c>
      <c r="J42" s="10" t="str">
        <f t="shared" si="3"/>
        <v>N</v>
      </c>
      <c r="K42" s="10" t="str">
        <f t="shared" si="4"/>
        <v>N</v>
      </c>
      <c r="L42" s="10" t="str">
        <f t="shared" si="5"/>
        <v>N</v>
      </c>
      <c r="M42" s="269">
        <f t="shared" si="8"/>
        <v>0</v>
      </c>
      <c r="N42" s="97"/>
      <c r="O42" s="246" t="str">
        <f t="shared" si="6"/>
        <v>NO</v>
      </c>
      <c r="P42" s="246" t="str">
        <f t="shared" si="7"/>
        <v>NO</v>
      </c>
      <c r="Q42" s="246" t="str">
        <f t="shared" si="0"/>
        <v>NO</v>
      </c>
      <c r="R42" s="6">
        <f t="shared" si="1"/>
        <v>0</v>
      </c>
      <c r="S42" s="9"/>
      <c r="T42" s="8"/>
      <c r="U42" s="8"/>
      <c r="V42" s="9"/>
      <c r="W42" s="9"/>
    </row>
    <row r="43" spans="1:28">
      <c r="A43" s="5">
        <v>34</v>
      </c>
      <c r="B43" s="9"/>
      <c r="C43" s="9"/>
      <c r="D43" s="237" t="str">
        <f>IF(C43="","",VLOOKUP(C43,'Product formulation'!B:E,4,FALSE))</f>
        <v/>
      </c>
      <c r="E43" s="98"/>
      <c r="F43" s="247">
        <f t="shared" si="2"/>
        <v>0</v>
      </c>
      <c r="G43" s="9"/>
      <c r="H43" s="9"/>
      <c r="I43" s="10" t="str">
        <f>IF(H43=Hoja2!$B$15,"Y","N")</f>
        <v>N</v>
      </c>
      <c r="J43" s="10" t="str">
        <f t="shared" si="3"/>
        <v>N</v>
      </c>
      <c r="K43" s="10" t="str">
        <f t="shared" si="4"/>
        <v>N</v>
      </c>
      <c r="L43" s="10" t="str">
        <f t="shared" si="5"/>
        <v>N</v>
      </c>
      <c r="M43" s="269">
        <f t="shared" si="8"/>
        <v>0</v>
      </c>
      <c r="N43" s="97"/>
      <c r="O43" s="246" t="str">
        <f t="shared" si="6"/>
        <v>NO</v>
      </c>
      <c r="P43" s="246" t="str">
        <f t="shared" si="7"/>
        <v>NO</v>
      </c>
      <c r="Q43" s="246" t="str">
        <f t="shared" ref="Q43:Q59" si="9">IF(H43="Surfactant","NO",IF(ISNUMBER(SEARCH(412,$N43)),"YES","NO"))</f>
        <v>NO</v>
      </c>
      <c r="R43" s="6">
        <f t="shared" ref="R43:R59" si="10">IF(O43="YES",M43*100,"0")+IF(P43="YES",M43*10,"0")+IF(Q43="YES",M43,"0")</f>
        <v>0</v>
      </c>
      <c r="S43" s="9"/>
      <c r="T43" s="8"/>
      <c r="U43" s="8"/>
      <c r="V43" s="9"/>
      <c r="W43" s="9"/>
    </row>
    <row r="44" spans="1:28">
      <c r="A44" s="5">
        <v>35</v>
      </c>
      <c r="B44" s="9"/>
      <c r="C44" s="9"/>
      <c r="D44" s="237" t="str">
        <f>IF(C44="","",VLOOKUP(C44,'Product formulation'!B:E,4,FALSE))</f>
        <v/>
      </c>
      <c r="E44" s="98"/>
      <c r="F44" s="247">
        <f t="shared" si="2"/>
        <v>0</v>
      </c>
      <c r="G44" s="9"/>
      <c r="H44" s="9"/>
      <c r="I44" s="10" t="str">
        <f>IF(H44=Hoja2!$B$15,"Y","N")</f>
        <v>N</v>
      </c>
      <c r="J44" s="10" t="str">
        <f t="shared" si="3"/>
        <v>N</v>
      </c>
      <c r="K44" s="10" t="str">
        <f t="shared" si="4"/>
        <v>N</v>
      </c>
      <c r="L44" s="10" t="str">
        <f t="shared" si="5"/>
        <v>N</v>
      </c>
      <c r="M44" s="269">
        <f t="shared" si="8"/>
        <v>0</v>
      </c>
      <c r="N44" s="97"/>
      <c r="O44" s="246" t="str">
        <f t="shared" si="6"/>
        <v>NO</v>
      </c>
      <c r="P44" s="246" t="str">
        <f t="shared" si="7"/>
        <v>NO</v>
      </c>
      <c r="Q44" s="246" t="str">
        <f t="shared" si="9"/>
        <v>NO</v>
      </c>
      <c r="R44" s="6">
        <f t="shared" si="10"/>
        <v>0</v>
      </c>
      <c r="S44" s="9"/>
      <c r="T44" s="8"/>
      <c r="U44" s="8"/>
      <c r="V44" s="9"/>
      <c r="W44" s="9"/>
    </row>
    <row r="45" spans="1:28">
      <c r="A45" s="5">
        <v>36</v>
      </c>
      <c r="B45" s="9"/>
      <c r="C45" s="9"/>
      <c r="D45" s="237" t="str">
        <f>IF(C45="","",VLOOKUP(C45,'Product formulation'!B:E,4,FALSE))</f>
        <v/>
      </c>
      <c r="E45" s="98"/>
      <c r="F45" s="247">
        <f t="shared" si="2"/>
        <v>0</v>
      </c>
      <c r="G45" s="9"/>
      <c r="H45" s="9"/>
      <c r="I45" s="10" t="str">
        <f>IF(H45=Hoja2!$B$15,"Y","N")</f>
        <v>N</v>
      </c>
      <c r="J45" s="10" t="str">
        <f t="shared" si="3"/>
        <v>N</v>
      </c>
      <c r="K45" s="10" t="str">
        <f t="shared" si="4"/>
        <v>N</v>
      </c>
      <c r="L45" s="10" t="str">
        <f t="shared" si="5"/>
        <v>N</v>
      </c>
      <c r="M45" s="269">
        <f t="shared" si="8"/>
        <v>0</v>
      </c>
      <c r="N45" s="97"/>
      <c r="O45" s="246" t="str">
        <f t="shared" si="6"/>
        <v>NO</v>
      </c>
      <c r="P45" s="246" t="str">
        <f t="shared" si="7"/>
        <v>NO</v>
      </c>
      <c r="Q45" s="246" t="str">
        <f t="shared" si="9"/>
        <v>NO</v>
      </c>
      <c r="R45" s="6">
        <f t="shared" si="10"/>
        <v>0</v>
      </c>
      <c r="S45" s="9"/>
      <c r="T45" s="8"/>
      <c r="U45" s="8"/>
      <c r="V45" s="9"/>
      <c r="W45" s="9"/>
    </row>
    <row r="46" spans="1:28">
      <c r="A46" s="5">
        <v>37</v>
      </c>
      <c r="B46" s="9"/>
      <c r="C46" s="9"/>
      <c r="D46" s="237" t="str">
        <f>IF(C46="","",VLOOKUP(C46,'Product formulation'!B:E,4,FALSE))</f>
        <v/>
      </c>
      <c r="E46" s="98"/>
      <c r="F46" s="247">
        <f t="shared" si="2"/>
        <v>0</v>
      </c>
      <c r="G46" s="9"/>
      <c r="H46" s="9"/>
      <c r="I46" s="10" t="str">
        <f>IF(H46=Hoja2!$B$15,"Y","N")</f>
        <v>N</v>
      </c>
      <c r="J46" s="10" t="str">
        <f t="shared" si="3"/>
        <v>N</v>
      </c>
      <c r="K46" s="10" t="str">
        <f t="shared" si="4"/>
        <v>N</v>
      </c>
      <c r="L46" s="10" t="str">
        <f t="shared" si="5"/>
        <v>N</v>
      </c>
      <c r="M46" s="269">
        <f t="shared" si="8"/>
        <v>0</v>
      </c>
      <c r="N46" s="97"/>
      <c r="O46" s="246" t="str">
        <f t="shared" si="6"/>
        <v>NO</v>
      </c>
      <c r="P46" s="246" t="str">
        <f t="shared" si="7"/>
        <v>NO</v>
      </c>
      <c r="Q46" s="246" t="str">
        <f t="shared" si="9"/>
        <v>NO</v>
      </c>
      <c r="R46" s="6">
        <f t="shared" si="10"/>
        <v>0</v>
      </c>
      <c r="S46" s="9"/>
      <c r="T46" s="8"/>
      <c r="U46" s="8"/>
      <c r="V46" s="9"/>
      <c r="W46" s="9"/>
    </row>
    <row r="47" spans="1:28">
      <c r="A47" s="5">
        <v>38</v>
      </c>
      <c r="B47" s="9"/>
      <c r="C47" s="9"/>
      <c r="D47" s="237" t="str">
        <f>IF(C47="","",VLOOKUP(C47,'Product formulation'!B:E,4,FALSE))</f>
        <v/>
      </c>
      <c r="E47" s="98"/>
      <c r="F47" s="247">
        <f t="shared" si="2"/>
        <v>0</v>
      </c>
      <c r="G47" s="9"/>
      <c r="H47" s="9"/>
      <c r="I47" s="10" t="str">
        <f>IF(H47=Hoja2!$B$15,"Y","N")</f>
        <v>N</v>
      </c>
      <c r="J47" s="10" t="str">
        <f t="shared" si="3"/>
        <v>N</v>
      </c>
      <c r="K47" s="10" t="str">
        <f t="shared" si="4"/>
        <v>N</v>
      </c>
      <c r="L47" s="10" t="str">
        <f t="shared" si="5"/>
        <v>N</v>
      </c>
      <c r="M47" s="269">
        <f t="shared" si="8"/>
        <v>0</v>
      </c>
      <c r="N47" s="97"/>
      <c r="O47" s="246" t="str">
        <f t="shared" si="6"/>
        <v>NO</v>
      </c>
      <c r="P47" s="246" t="str">
        <f t="shared" si="7"/>
        <v>NO</v>
      </c>
      <c r="Q47" s="246" t="str">
        <f t="shared" si="9"/>
        <v>NO</v>
      </c>
      <c r="R47" s="6">
        <f t="shared" si="10"/>
        <v>0</v>
      </c>
      <c r="S47" s="9"/>
      <c r="T47" s="8"/>
      <c r="U47" s="8"/>
      <c r="V47" s="9"/>
      <c r="W47" s="9"/>
    </row>
    <row r="48" spans="1:28">
      <c r="A48" s="5">
        <v>39</v>
      </c>
      <c r="B48" s="9"/>
      <c r="C48" s="9"/>
      <c r="D48" s="237" t="str">
        <f>IF(C48="","",VLOOKUP(C48,'Product formulation'!B:E,4,FALSE))</f>
        <v/>
      </c>
      <c r="E48" s="98"/>
      <c r="F48" s="247">
        <f t="shared" si="2"/>
        <v>0</v>
      </c>
      <c r="G48" s="9"/>
      <c r="H48" s="9"/>
      <c r="I48" s="10" t="str">
        <f>IF(H48=Hoja2!$B$15,"Y","N")</f>
        <v>N</v>
      </c>
      <c r="J48" s="10" t="str">
        <f t="shared" si="3"/>
        <v>N</v>
      </c>
      <c r="K48" s="10" t="str">
        <f t="shared" si="4"/>
        <v>N</v>
      </c>
      <c r="L48" s="10" t="str">
        <f t="shared" si="5"/>
        <v>N</v>
      </c>
      <c r="M48" s="269">
        <f t="shared" si="8"/>
        <v>0</v>
      </c>
      <c r="N48" s="97"/>
      <c r="O48" s="246" t="str">
        <f t="shared" si="6"/>
        <v>NO</v>
      </c>
      <c r="P48" s="246" t="str">
        <f t="shared" si="7"/>
        <v>NO</v>
      </c>
      <c r="Q48" s="246" t="str">
        <f t="shared" si="9"/>
        <v>NO</v>
      </c>
      <c r="R48" s="6">
        <f t="shared" si="10"/>
        <v>0</v>
      </c>
      <c r="S48" s="9"/>
      <c r="T48" s="8"/>
      <c r="U48" s="8"/>
      <c r="V48" s="9"/>
      <c r="W48" s="9"/>
    </row>
    <row r="49" spans="1:23">
      <c r="A49" s="5">
        <v>40</v>
      </c>
      <c r="B49" s="9"/>
      <c r="C49" s="9"/>
      <c r="D49" s="237" t="str">
        <f>IF(C49="","",VLOOKUP(C49,'Product formulation'!B:E,4,FALSE))</f>
        <v/>
      </c>
      <c r="E49" s="98"/>
      <c r="F49" s="247">
        <f t="shared" si="2"/>
        <v>0</v>
      </c>
      <c r="G49" s="9"/>
      <c r="H49" s="9"/>
      <c r="I49" s="10" t="str">
        <f>IF(H49=Hoja2!$B$15,"Y","N")</f>
        <v>N</v>
      </c>
      <c r="J49" s="10" t="str">
        <f t="shared" si="3"/>
        <v>N</v>
      </c>
      <c r="K49" s="10" t="str">
        <f t="shared" si="4"/>
        <v>N</v>
      </c>
      <c r="L49" s="10" t="str">
        <f t="shared" si="5"/>
        <v>N</v>
      </c>
      <c r="M49" s="269">
        <f t="shared" si="8"/>
        <v>0</v>
      </c>
      <c r="N49" s="97"/>
      <c r="O49" s="246" t="str">
        <f t="shared" si="6"/>
        <v>NO</v>
      </c>
      <c r="P49" s="246" t="str">
        <f t="shared" si="7"/>
        <v>NO</v>
      </c>
      <c r="Q49" s="246" t="str">
        <f t="shared" si="9"/>
        <v>NO</v>
      </c>
      <c r="R49" s="6">
        <f t="shared" si="10"/>
        <v>0</v>
      </c>
      <c r="S49" s="9"/>
      <c r="T49" s="8"/>
      <c r="U49" s="8"/>
      <c r="V49" s="9"/>
      <c r="W49" s="9"/>
    </row>
    <row r="50" spans="1:23">
      <c r="A50" s="5">
        <v>41</v>
      </c>
      <c r="B50" s="9"/>
      <c r="C50" s="9"/>
      <c r="D50" s="237" t="str">
        <f>IF(C50="","",VLOOKUP(C50,'Product formulation'!B:E,4,FALSE))</f>
        <v/>
      </c>
      <c r="E50" s="98"/>
      <c r="F50" s="247">
        <f t="shared" si="2"/>
        <v>0</v>
      </c>
      <c r="G50" s="9"/>
      <c r="H50" s="9"/>
      <c r="I50" s="10" t="str">
        <f>IF(H50=Hoja2!$B$15,"Y","N")</f>
        <v>N</v>
      </c>
      <c r="J50" s="10" t="str">
        <f t="shared" si="3"/>
        <v>N</v>
      </c>
      <c r="K50" s="10" t="str">
        <f t="shared" si="4"/>
        <v>N</v>
      </c>
      <c r="L50" s="10" t="str">
        <f t="shared" si="5"/>
        <v>N</v>
      </c>
      <c r="M50" s="269">
        <f t="shared" si="8"/>
        <v>0</v>
      </c>
      <c r="N50" s="97"/>
      <c r="O50" s="246" t="str">
        <f t="shared" si="6"/>
        <v>NO</v>
      </c>
      <c r="P50" s="246" t="str">
        <f t="shared" si="7"/>
        <v>NO</v>
      </c>
      <c r="Q50" s="246" t="str">
        <f t="shared" si="9"/>
        <v>NO</v>
      </c>
      <c r="R50" s="6">
        <f t="shared" si="10"/>
        <v>0</v>
      </c>
      <c r="S50" s="9"/>
      <c r="T50" s="8"/>
      <c r="U50" s="8"/>
      <c r="V50" s="9"/>
      <c r="W50" s="9"/>
    </row>
    <row r="51" spans="1:23">
      <c r="A51" s="5">
        <v>42</v>
      </c>
      <c r="B51" s="9"/>
      <c r="C51" s="9"/>
      <c r="D51" s="237" t="str">
        <f>IF(C51="","",VLOOKUP(C51,'Product formulation'!B:E,4,FALSE))</f>
        <v/>
      </c>
      <c r="E51" s="98"/>
      <c r="F51" s="247">
        <f t="shared" si="2"/>
        <v>0</v>
      </c>
      <c r="G51" s="9"/>
      <c r="H51" s="9"/>
      <c r="I51" s="10" t="str">
        <f>IF(H51=Hoja2!$B$15,"Y","N")</f>
        <v>N</v>
      </c>
      <c r="J51" s="10" t="str">
        <f t="shared" si="3"/>
        <v>N</v>
      </c>
      <c r="K51" s="10" t="str">
        <f t="shared" si="4"/>
        <v>N</v>
      </c>
      <c r="L51" s="10" t="str">
        <f t="shared" si="5"/>
        <v>N</v>
      </c>
      <c r="M51" s="269">
        <f t="shared" si="8"/>
        <v>0</v>
      </c>
      <c r="N51" s="97"/>
      <c r="O51" s="246" t="str">
        <f t="shared" si="6"/>
        <v>NO</v>
      </c>
      <c r="P51" s="246" t="str">
        <f t="shared" si="7"/>
        <v>NO</v>
      </c>
      <c r="Q51" s="246" t="str">
        <f t="shared" si="9"/>
        <v>NO</v>
      </c>
      <c r="R51" s="6">
        <f t="shared" si="10"/>
        <v>0</v>
      </c>
      <c r="S51" s="9"/>
      <c r="T51" s="8"/>
      <c r="U51" s="8"/>
      <c r="V51" s="9"/>
      <c r="W51" s="9"/>
    </row>
    <row r="52" spans="1:23">
      <c r="A52" s="5">
        <v>43</v>
      </c>
      <c r="B52" s="9"/>
      <c r="C52" s="9"/>
      <c r="D52" s="237" t="str">
        <f>IF(C52="","",VLOOKUP(C52,'Product formulation'!B:E,4,FALSE))</f>
        <v/>
      </c>
      <c r="E52" s="98"/>
      <c r="F52" s="247">
        <f t="shared" si="2"/>
        <v>0</v>
      </c>
      <c r="G52" s="9"/>
      <c r="H52" s="9"/>
      <c r="I52" s="10" t="str">
        <f>IF(H52=Hoja2!$B$15,"Y","N")</f>
        <v>N</v>
      </c>
      <c r="J52" s="10" t="str">
        <f t="shared" si="3"/>
        <v>N</v>
      </c>
      <c r="K52" s="10" t="str">
        <f t="shared" si="4"/>
        <v>N</v>
      </c>
      <c r="L52" s="10" t="str">
        <f t="shared" si="5"/>
        <v>N</v>
      </c>
      <c r="M52" s="269">
        <f t="shared" si="8"/>
        <v>0</v>
      </c>
      <c r="N52" s="97"/>
      <c r="O52" s="246" t="str">
        <f t="shared" si="6"/>
        <v>NO</v>
      </c>
      <c r="P52" s="246" t="str">
        <f t="shared" si="7"/>
        <v>NO</v>
      </c>
      <c r="Q52" s="246" t="str">
        <f t="shared" si="9"/>
        <v>NO</v>
      </c>
      <c r="R52" s="6">
        <f t="shared" si="10"/>
        <v>0</v>
      </c>
      <c r="S52" s="9"/>
      <c r="T52" s="8"/>
      <c r="U52" s="8"/>
      <c r="V52" s="9"/>
      <c r="W52" s="9"/>
    </row>
    <row r="53" spans="1:23">
      <c r="A53" s="5">
        <v>44</v>
      </c>
      <c r="B53" s="9"/>
      <c r="C53" s="9"/>
      <c r="D53" s="237" t="str">
        <f>IF(C53="","",VLOOKUP(C53,'Product formulation'!B:E,4,FALSE))</f>
        <v/>
      </c>
      <c r="E53" s="98"/>
      <c r="F53" s="247">
        <f t="shared" si="2"/>
        <v>0</v>
      </c>
      <c r="G53" s="9"/>
      <c r="H53" s="9"/>
      <c r="I53" s="10" t="str">
        <f>IF(H53=Hoja2!$B$15,"Y","N")</f>
        <v>N</v>
      </c>
      <c r="J53" s="10" t="str">
        <f t="shared" si="3"/>
        <v>N</v>
      </c>
      <c r="K53" s="10" t="str">
        <f t="shared" si="4"/>
        <v>N</v>
      </c>
      <c r="L53" s="10" t="str">
        <f t="shared" si="5"/>
        <v>N</v>
      </c>
      <c r="M53" s="269">
        <f t="shared" si="8"/>
        <v>0</v>
      </c>
      <c r="N53" s="97"/>
      <c r="O53" s="246" t="str">
        <f t="shared" si="6"/>
        <v>NO</v>
      </c>
      <c r="P53" s="246" t="str">
        <f t="shared" si="7"/>
        <v>NO</v>
      </c>
      <c r="Q53" s="246" t="str">
        <f t="shared" si="9"/>
        <v>NO</v>
      </c>
      <c r="R53" s="6">
        <f t="shared" si="10"/>
        <v>0</v>
      </c>
      <c r="S53" s="9"/>
      <c r="T53" s="8"/>
      <c r="U53" s="8"/>
      <c r="V53" s="9"/>
      <c r="W53" s="9"/>
    </row>
    <row r="54" spans="1:23">
      <c r="A54" s="5">
        <v>45</v>
      </c>
      <c r="B54" s="9"/>
      <c r="C54" s="9"/>
      <c r="D54" s="237" t="str">
        <f>IF(C54="","",VLOOKUP(C54,'Product formulation'!B:E,4,FALSE))</f>
        <v/>
      </c>
      <c r="E54" s="98"/>
      <c r="F54" s="247">
        <f t="shared" si="2"/>
        <v>0</v>
      </c>
      <c r="G54" s="9"/>
      <c r="H54" s="9"/>
      <c r="I54" s="10" t="str">
        <f>IF(H54=Hoja2!$B$15,"Y","N")</f>
        <v>N</v>
      </c>
      <c r="J54" s="10" t="str">
        <f t="shared" si="3"/>
        <v>N</v>
      </c>
      <c r="K54" s="10" t="str">
        <f t="shared" si="4"/>
        <v>N</v>
      </c>
      <c r="L54" s="10" t="str">
        <f t="shared" si="5"/>
        <v>N</v>
      </c>
      <c r="M54" s="269">
        <f t="shared" si="8"/>
        <v>0</v>
      </c>
      <c r="N54" s="97"/>
      <c r="O54" s="246" t="str">
        <f t="shared" si="6"/>
        <v>NO</v>
      </c>
      <c r="P54" s="246" t="str">
        <f t="shared" si="7"/>
        <v>NO</v>
      </c>
      <c r="Q54" s="246" t="str">
        <f t="shared" si="9"/>
        <v>NO</v>
      </c>
      <c r="R54" s="6">
        <f t="shared" si="10"/>
        <v>0</v>
      </c>
      <c r="S54" s="9"/>
      <c r="T54" s="8"/>
      <c r="U54" s="8"/>
      <c r="V54" s="9"/>
      <c r="W54" s="9"/>
    </row>
    <row r="55" spans="1:23">
      <c r="A55" s="5">
        <v>46</v>
      </c>
      <c r="B55" s="9"/>
      <c r="C55" s="9"/>
      <c r="D55" s="237" t="str">
        <f>IF(C55="","",VLOOKUP(C55,'Product formulation'!B:E,4,FALSE))</f>
        <v/>
      </c>
      <c r="E55" s="98"/>
      <c r="F55" s="247">
        <f t="shared" si="2"/>
        <v>0</v>
      </c>
      <c r="G55" s="9"/>
      <c r="H55" s="9"/>
      <c r="I55" s="10" t="str">
        <f>IF(H55=Hoja2!$B$15,"Y","N")</f>
        <v>N</v>
      </c>
      <c r="J55" s="10" t="str">
        <f t="shared" si="3"/>
        <v>N</v>
      </c>
      <c r="K55" s="10" t="str">
        <f t="shared" si="4"/>
        <v>N</v>
      </c>
      <c r="L55" s="10" t="str">
        <f t="shared" si="5"/>
        <v>N</v>
      </c>
      <c r="M55" s="269">
        <f t="shared" si="8"/>
        <v>0</v>
      </c>
      <c r="N55" s="97"/>
      <c r="O55" s="246" t="str">
        <f t="shared" si="6"/>
        <v>NO</v>
      </c>
      <c r="P55" s="246" t="str">
        <f t="shared" si="7"/>
        <v>NO</v>
      </c>
      <c r="Q55" s="246" t="str">
        <f t="shared" si="9"/>
        <v>NO</v>
      </c>
      <c r="R55" s="6">
        <f t="shared" si="10"/>
        <v>0</v>
      </c>
      <c r="S55" s="9"/>
      <c r="T55" s="8"/>
      <c r="U55" s="8"/>
      <c r="V55" s="9"/>
      <c r="W55" s="9"/>
    </row>
    <row r="56" spans="1:23">
      <c r="A56" s="5">
        <v>47</v>
      </c>
      <c r="B56" s="9"/>
      <c r="C56" s="9"/>
      <c r="D56" s="237" t="str">
        <f>IF(C56="","",VLOOKUP(C56,'Product formulation'!B:E,4,FALSE))</f>
        <v/>
      </c>
      <c r="E56" s="98"/>
      <c r="F56" s="247">
        <f t="shared" si="2"/>
        <v>0</v>
      </c>
      <c r="G56" s="9"/>
      <c r="H56" s="9"/>
      <c r="I56" s="10" t="str">
        <f>IF(H56=Hoja2!$B$15,"Y","N")</f>
        <v>N</v>
      </c>
      <c r="J56" s="10" t="str">
        <f t="shared" si="3"/>
        <v>N</v>
      </c>
      <c r="K56" s="10" t="str">
        <f t="shared" si="4"/>
        <v>N</v>
      </c>
      <c r="L56" s="10" t="str">
        <f t="shared" si="5"/>
        <v>N</v>
      </c>
      <c r="M56" s="269">
        <f t="shared" si="8"/>
        <v>0</v>
      </c>
      <c r="N56" s="97"/>
      <c r="O56" s="246" t="str">
        <f t="shared" si="6"/>
        <v>NO</v>
      </c>
      <c r="P56" s="246" t="str">
        <f t="shared" si="7"/>
        <v>NO</v>
      </c>
      <c r="Q56" s="246" t="str">
        <f t="shared" si="9"/>
        <v>NO</v>
      </c>
      <c r="R56" s="6">
        <f t="shared" si="10"/>
        <v>0</v>
      </c>
      <c r="S56" s="9"/>
      <c r="T56" s="8"/>
      <c r="U56" s="8"/>
      <c r="V56" s="9"/>
      <c r="W56" s="9"/>
    </row>
    <row r="57" spans="1:23">
      <c r="A57" s="5">
        <v>48</v>
      </c>
      <c r="B57" s="9"/>
      <c r="C57" s="9"/>
      <c r="D57" s="237" t="str">
        <f>IF(C57="","",VLOOKUP(C57,'Product formulation'!B:E,4,FALSE))</f>
        <v/>
      </c>
      <c r="E57" s="98"/>
      <c r="F57" s="247">
        <f t="shared" si="2"/>
        <v>0</v>
      </c>
      <c r="G57" s="9"/>
      <c r="H57" s="9"/>
      <c r="I57" s="10" t="str">
        <f>IF(H57=Hoja2!$B$15,"Y","N")</f>
        <v>N</v>
      </c>
      <c r="J57" s="10" t="str">
        <f t="shared" si="3"/>
        <v>N</v>
      </c>
      <c r="K57" s="10" t="str">
        <f t="shared" si="4"/>
        <v>N</v>
      </c>
      <c r="L57" s="10" t="str">
        <f t="shared" si="5"/>
        <v>N</v>
      </c>
      <c r="M57" s="269">
        <f t="shared" si="8"/>
        <v>0</v>
      </c>
      <c r="N57" s="97"/>
      <c r="O57" s="246" t="str">
        <f t="shared" si="6"/>
        <v>NO</v>
      </c>
      <c r="P57" s="246" t="str">
        <f t="shared" si="7"/>
        <v>NO</v>
      </c>
      <c r="Q57" s="246" t="str">
        <f t="shared" si="9"/>
        <v>NO</v>
      </c>
      <c r="R57" s="6">
        <f t="shared" si="10"/>
        <v>0</v>
      </c>
      <c r="S57" s="9"/>
      <c r="T57" s="8"/>
      <c r="U57" s="8"/>
      <c r="V57" s="9"/>
      <c r="W57" s="9"/>
    </row>
    <row r="58" spans="1:23">
      <c r="A58" s="5">
        <v>49</v>
      </c>
      <c r="B58" s="9"/>
      <c r="C58" s="9"/>
      <c r="D58" s="237" t="str">
        <f>IF(C58="","",VLOOKUP(C58,'Product formulation'!B:E,4,FALSE))</f>
        <v/>
      </c>
      <c r="E58" s="98"/>
      <c r="F58" s="247">
        <f t="shared" si="2"/>
        <v>0</v>
      </c>
      <c r="G58" s="9"/>
      <c r="H58" s="9"/>
      <c r="I58" s="10" t="str">
        <f>IF(H58=Hoja2!$B$15,"Y","N")</f>
        <v>N</v>
      </c>
      <c r="J58" s="10" t="str">
        <f t="shared" si="3"/>
        <v>N</v>
      </c>
      <c r="K58" s="10" t="str">
        <f t="shared" si="4"/>
        <v>N</v>
      </c>
      <c r="L58" s="10" t="str">
        <f t="shared" si="5"/>
        <v>N</v>
      </c>
      <c r="M58" s="269">
        <f t="shared" si="8"/>
        <v>0</v>
      </c>
      <c r="N58" s="97"/>
      <c r="O58" s="246" t="str">
        <f t="shared" si="6"/>
        <v>NO</v>
      </c>
      <c r="P58" s="246" t="str">
        <f t="shared" si="7"/>
        <v>NO</v>
      </c>
      <c r="Q58" s="246" t="str">
        <f t="shared" si="9"/>
        <v>NO</v>
      </c>
      <c r="R58" s="6">
        <f t="shared" si="10"/>
        <v>0</v>
      </c>
      <c r="S58" s="9"/>
      <c r="T58" s="8"/>
      <c r="U58" s="8"/>
      <c r="V58" s="9"/>
      <c r="W58" s="9"/>
    </row>
    <row r="59" spans="1:23" ht="13.8" thickBot="1">
      <c r="A59" s="5">
        <v>50</v>
      </c>
      <c r="B59" s="9"/>
      <c r="C59" s="9"/>
      <c r="D59" s="237" t="str">
        <f>IF(C59="","",VLOOKUP(C59,'Product formulation'!B:E,4,FALSE))</f>
        <v/>
      </c>
      <c r="E59" s="98"/>
      <c r="F59" s="247">
        <f t="shared" si="2"/>
        <v>0</v>
      </c>
      <c r="G59" s="9"/>
      <c r="H59" s="9"/>
      <c r="I59" s="10" t="str">
        <f>IF(H59=Hoja2!$B$15,"Y","N")</f>
        <v>N</v>
      </c>
      <c r="J59" s="10" t="str">
        <f t="shared" si="3"/>
        <v>N</v>
      </c>
      <c r="K59" s="10" t="str">
        <f t="shared" si="4"/>
        <v>N</v>
      </c>
      <c r="L59" s="10" t="str">
        <f t="shared" si="5"/>
        <v>N</v>
      </c>
      <c r="M59" s="269">
        <f t="shared" si="8"/>
        <v>0</v>
      </c>
      <c r="N59" s="97"/>
      <c r="O59" s="246" t="str">
        <f t="shared" si="6"/>
        <v>NO</v>
      </c>
      <c r="P59" s="246" t="str">
        <f t="shared" si="7"/>
        <v>NO</v>
      </c>
      <c r="Q59" s="246" t="str">
        <f t="shared" si="9"/>
        <v>NO</v>
      </c>
      <c r="R59" s="6">
        <f t="shared" si="10"/>
        <v>0</v>
      </c>
      <c r="S59" s="9"/>
      <c r="T59" s="8"/>
      <c r="U59" s="8"/>
      <c r="V59" s="9"/>
      <c r="W59" s="9"/>
    </row>
    <row r="60" spans="1:23" ht="18" thickBot="1">
      <c r="B60" s="3" t="s">
        <v>30</v>
      </c>
      <c r="M60" s="210">
        <f>SUM(M10:M59)</f>
        <v>0</v>
      </c>
      <c r="R60" s="1">
        <f>SUM(R11:R59)</f>
        <v>0</v>
      </c>
    </row>
    <row r="62" spans="1:23">
      <c r="B62" s="1" t="s">
        <v>31</v>
      </c>
    </row>
    <row r="63" spans="1:23">
      <c r="B63" s="304"/>
      <c r="C63" s="305"/>
      <c r="D63" s="305"/>
      <c r="E63" s="305"/>
      <c r="F63" s="305"/>
      <c r="G63" s="305"/>
      <c r="H63" s="306"/>
    </row>
    <row r="64" spans="1:23">
      <c r="B64" s="307"/>
      <c r="C64" s="308"/>
      <c r="D64" s="308"/>
      <c r="E64" s="308"/>
      <c r="F64" s="308"/>
      <c r="G64" s="308"/>
      <c r="H64" s="309"/>
    </row>
    <row r="65" spans="2:8">
      <c r="B65" s="307"/>
      <c r="C65" s="308"/>
      <c r="D65" s="308"/>
      <c r="E65" s="308"/>
      <c r="F65" s="308"/>
      <c r="G65" s="308"/>
      <c r="H65" s="309"/>
    </row>
    <row r="66" spans="2:8">
      <c r="B66" s="310"/>
      <c r="C66" s="311"/>
      <c r="D66" s="311"/>
      <c r="E66" s="311"/>
      <c r="F66" s="311"/>
      <c r="G66" s="311"/>
      <c r="H66" s="312"/>
    </row>
  </sheetData>
  <sheetProtection algorithmName="SHA-512" hashValue="2NlaTTQJxXfEO3n++fXc3VzDi7cWDqduPe9n2QGLBR84/kRWfvFIOgrwVKd9M8o0If+rojQtswrwMCs4tBUghQ==" saltValue="jLpTn0V+L6jxyo8aonSrEw==" spinCount="100000" sheet="1" selectLockedCells="1"/>
  <autoFilter ref="B8:B60" xr:uid="{00000000-0009-0000-0000-000002000000}"/>
  <mergeCells count="8">
    <mergeCell ref="B63:H66"/>
    <mergeCell ref="B1:E1"/>
    <mergeCell ref="B8:B9"/>
    <mergeCell ref="U8:U9"/>
    <mergeCell ref="G8:G9"/>
    <mergeCell ref="C2:E2"/>
    <mergeCell ref="C3:E3"/>
    <mergeCell ref="C4:E4"/>
  </mergeCells>
  <conditionalFormatting sqref="C11:G59 S11:U59 M11:Q59">
    <cfRule type="expression" dxfId="140" priority="33">
      <formula>ISBLANK($B11)</formula>
    </cfRule>
  </conditionalFormatting>
  <conditionalFormatting sqref="M11:M59">
    <cfRule type="cellIs" dxfId="139" priority="32" operator="greaterThan">
      <formula>0.01</formula>
    </cfRule>
  </conditionalFormatting>
  <conditionalFormatting sqref="H11:L59">
    <cfRule type="expression" dxfId="138" priority="28">
      <formula>ISBLANK($B11)</formula>
    </cfRule>
  </conditionalFormatting>
  <conditionalFormatting sqref="W11:W59">
    <cfRule type="expression" dxfId="137" priority="24">
      <formula>ISBLANK($B11)</formula>
    </cfRule>
  </conditionalFormatting>
  <conditionalFormatting sqref="V11:V59">
    <cfRule type="expression" dxfId="136" priority="12">
      <formula>ISBLANK($B11)</formula>
    </cfRule>
  </conditionalFormatting>
  <conditionalFormatting sqref="N11:Q59">
    <cfRule type="expression" dxfId="135" priority="38">
      <formula>$M11&gt;0.01</formula>
    </cfRule>
    <cfRule type="expression" dxfId="134" priority="39">
      <formula>SUMPRODUCT(ISNUMBER(FIND($AB$11:$AB$36,N11))*1)&gt;0</formula>
    </cfRule>
  </conditionalFormatting>
  <conditionalFormatting sqref="S11:S59">
    <cfRule type="expression" dxfId="133" priority="7">
      <formula>SUMPRODUCT(ISNUMBER(FIND($AB$11:$AB$36,S11))*1)&gt;0</formula>
    </cfRule>
  </conditionalFormatting>
  <conditionalFormatting sqref="S11">
    <cfRule type="expression" priority="6">
      <formula>$S$11=300</formula>
    </cfRule>
  </conditionalFormatting>
  <conditionalFormatting sqref="T11:U59">
    <cfRule type="expression" dxfId="132" priority="3">
      <formula>$H11="UV filter"</formula>
    </cfRule>
    <cfRule type="expression" dxfId="131" priority="4">
      <formula>$H11="Colorant"</formula>
    </cfRule>
    <cfRule type="expression" dxfId="130" priority="5">
      <formula>$H11="Preservative"</formula>
    </cfRule>
  </conditionalFormatting>
  <conditionalFormatting sqref="U11:U59">
    <cfRule type="expression" dxfId="129" priority="1">
      <formula>AND($T11="BCF",$U11&gt;=500)</formula>
    </cfRule>
    <cfRule type="expression" dxfId="128" priority="2">
      <formula>AND($T11="log Kow",$U11&gt;=4)</formula>
    </cfRule>
  </conditionalFormatting>
  <dataValidations count="2">
    <dataValidation type="list" allowBlank="1" showInputMessage="1" showErrorMessage="1" sqref="C11:C59" xr:uid="{00000000-0002-0000-0200-000000000000}">
      <formula1>Trade_name</formula1>
    </dataValidation>
    <dataValidation type="list" allowBlank="1" showInputMessage="1" showErrorMessage="1" sqref="V11:W59" xr:uid="{00000000-0002-0000-0200-000001000000}">
      <formula1>"Yes,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2000000}">
          <x14:formula1>
            <xm:f>Hoja2!$B$25:$B$28</xm:f>
          </x14:formula1>
          <xm:sqref>T11:T59</xm:sqref>
        </x14:dataValidation>
        <x14:dataValidation type="list" allowBlank="1" showInputMessage="1" showErrorMessage="1" xr:uid="{00000000-0002-0000-0200-000003000000}">
          <x14:formula1>
            <xm:f>Hoja2!$B$34:$B$35</xm:f>
          </x14:formula1>
          <xm:sqref>S12:S59</xm:sqref>
        </x14:dataValidation>
        <x14:dataValidation type="list" allowBlank="1" showInputMessage="1" showErrorMessage="1" xr:uid="{00000000-0002-0000-0200-000004000000}">
          <x14:formula1>
            <xm:f>Hoja2!$B$34:$B$36</xm:f>
          </x14:formula1>
          <xm:sqref>S11</xm:sqref>
        </x14:dataValidation>
        <x14:dataValidation type="list" allowBlank="1" showInputMessage="1" showErrorMessage="1" xr:uid="{00000000-0002-0000-0200-000005000000}">
          <x14:formula1>
            <xm:f>Hoja2!$B$15:$B$23</xm:f>
          </x14:formula1>
          <xm:sqref>H11:H59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1">
    <outlinePr showOutlineSymbols="0"/>
  </sheetPr>
  <dimension ref="A1:Q65"/>
  <sheetViews>
    <sheetView showZeros="0" showOutlineSymbols="0" zoomScaleNormal="100" workbookViewId="0">
      <selection activeCell="E48" sqref="E48"/>
    </sheetView>
  </sheetViews>
  <sheetFormatPr defaultColWidth="11.44140625" defaultRowHeight="13.2"/>
  <cols>
    <col min="1" max="1" width="5.44140625" style="1" customWidth="1"/>
    <col min="2" max="2" width="30.6640625" style="1" customWidth="1"/>
    <col min="3" max="3" width="20.33203125" style="1" bestFit="1" customWidth="1"/>
    <col min="4" max="4" width="20.6640625" style="1" customWidth="1"/>
    <col min="5" max="5" width="11.6640625" style="1" customWidth="1"/>
    <col min="6" max="6" width="35" style="1" bestFit="1" customWidth="1"/>
    <col min="7" max="7" width="17" style="1" customWidth="1"/>
    <col min="8" max="11" width="9.5546875" style="1" customWidth="1"/>
    <col min="12" max="15" width="9.109375" style="1" customWidth="1"/>
    <col min="16" max="16" width="15.88671875" style="71" customWidth="1"/>
    <col min="17" max="17" width="10.5546875" style="1" hidden="1" customWidth="1"/>
    <col min="18" max="18" width="11.44140625" style="1" customWidth="1"/>
    <col min="19" max="16384" width="11.44140625" style="1"/>
  </cols>
  <sheetData>
    <row r="1" spans="1:17">
      <c r="B1" s="314" t="s">
        <v>42</v>
      </c>
      <c r="C1" s="315"/>
      <c r="D1" s="315"/>
      <c r="E1" s="104"/>
    </row>
    <row r="2" spans="1:17">
      <c r="B2" s="102" t="s">
        <v>26</v>
      </c>
      <c r="C2" s="274" t="str">
        <f>'Product formulation'!C2</f>
        <v/>
      </c>
      <c r="D2" s="274"/>
      <c r="E2" s="24"/>
    </row>
    <row r="3" spans="1:17">
      <c r="B3" s="102" t="s">
        <v>4</v>
      </c>
      <c r="C3" s="274" t="str">
        <f>'Product formulation'!C3</f>
        <v/>
      </c>
      <c r="D3" s="274"/>
      <c r="E3" s="24" t="str">
        <f>IF(C3="Leave-on product","You shall complete the Excel file Leave-on - DID","Results are presented in the Excel file Results 1&amp;2")</f>
        <v>Results are presented in the Excel file Results 1&amp;2</v>
      </c>
    </row>
    <row r="4" spans="1:17">
      <c r="B4" s="103" t="s">
        <v>27</v>
      </c>
      <c r="C4" s="303" t="str">
        <f>'Product formulation'!C4</f>
        <v/>
      </c>
      <c r="D4" s="303"/>
      <c r="E4" s="24"/>
    </row>
    <row r="6" spans="1:17" s="193" customFormat="1" ht="15.6">
      <c r="A6" s="193" t="s">
        <v>57</v>
      </c>
      <c r="P6" s="243"/>
    </row>
    <row r="8" spans="1:17" s="2" customFormat="1" ht="25.5" customHeight="1">
      <c r="A8" s="4"/>
      <c r="B8" s="189" t="s">
        <v>43</v>
      </c>
      <c r="C8" s="189" t="s">
        <v>44</v>
      </c>
      <c r="D8" s="317" t="s">
        <v>48</v>
      </c>
      <c r="E8" s="317" t="s">
        <v>58</v>
      </c>
      <c r="F8" s="317" t="s">
        <v>59</v>
      </c>
      <c r="G8" s="189" t="s">
        <v>49</v>
      </c>
      <c r="H8" s="324" t="s">
        <v>60</v>
      </c>
      <c r="I8" s="325"/>
      <c r="J8" s="325"/>
      <c r="K8" s="326"/>
      <c r="L8" s="322" t="s">
        <v>61</v>
      </c>
      <c r="M8" s="322" t="s">
        <v>62</v>
      </c>
      <c r="N8" s="322" t="s">
        <v>63</v>
      </c>
      <c r="O8" s="322" t="s">
        <v>64</v>
      </c>
      <c r="P8" s="189" t="s">
        <v>65</v>
      </c>
    </row>
    <row r="9" spans="1:17" s="2" customFormat="1" ht="26.4">
      <c r="A9" s="4"/>
      <c r="B9" s="240" t="s">
        <v>0</v>
      </c>
      <c r="C9" s="194" t="s">
        <v>45</v>
      </c>
      <c r="D9" s="318"/>
      <c r="E9" s="318"/>
      <c r="F9" s="318"/>
      <c r="G9" s="194" t="s">
        <v>37</v>
      </c>
      <c r="H9" s="194" t="s">
        <v>61</v>
      </c>
      <c r="I9" s="194" t="s">
        <v>62</v>
      </c>
      <c r="J9" s="194" t="s">
        <v>63</v>
      </c>
      <c r="K9" s="194" t="s">
        <v>64</v>
      </c>
      <c r="L9" s="323"/>
      <c r="M9" s="323"/>
      <c r="N9" s="323"/>
      <c r="O9" s="323"/>
      <c r="P9" s="194" t="s">
        <v>45</v>
      </c>
    </row>
    <row r="10" spans="1:17">
      <c r="A10" s="5">
        <v>1</v>
      </c>
      <c r="B10" s="15" t="s">
        <v>29</v>
      </c>
      <c r="C10" s="15"/>
      <c r="D10" s="15"/>
      <c r="E10" s="15"/>
      <c r="F10" s="15"/>
      <c r="G10" s="6">
        <f>'Ingoing substances'!M10</f>
        <v>0</v>
      </c>
      <c r="H10" s="6"/>
      <c r="I10" s="6"/>
      <c r="J10" s="6"/>
      <c r="K10" s="6"/>
      <c r="L10" s="15"/>
      <c r="M10" s="15"/>
      <c r="N10" s="15"/>
      <c r="O10" s="15"/>
      <c r="P10" s="244"/>
    </row>
    <row r="11" spans="1:17">
      <c r="A11" s="5">
        <v>2</v>
      </c>
      <c r="B11" s="6" t="str">
        <f>IF('Ingoing substances'!B11="","",'Ingoing substances'!B11)</f>
        <v/>
      </c>
      <c r="C11" s="6" t="str">
        <f>IF('Ingoing substances'!C11="","",'Ingoing substances'!C11)</f>
        <v/>
      </c>
      <c r="D11" s="6" t="str">
        <f>IF('Ingoing substances'!G11="","",'Ingoing substances'!G11)</f>
        <v/>
      </c>
      <c r="E11" s="9"/>
      <c r="F11" s="6" t="str">
        <f>IF(E11="","",VLOOKUP($E11,'DID-list_Part A'!$A$8:$L$245,3,FALSE))</f>
        <v/>
      </c>
      <c r="G11" s="6">
        <f>'Ingoing substances'!M11</f>
        <v>0</v>
      </c>
      <c r="H11" s="8"/>
      <c r="I11" s="8"/>
      <c r="J11" s="8"/>
      <c r="K11" s="8"/>
      <c r="L11" s="6" t="str">
        <f>IF($E11="","",IF($E11="not included",H11,VLOOKUP($E11,'DID-list_Part A'!$A$8:$L$245,10,FALSE)))</f>
        <v/>
      </c>
      <c r="M11" s="6" t="str">
        <f>IF($E11="","",IF($E11="not included",I11,VLOOKUP($E11,'DID-list_Part A'!$A$8:$L$245,9,FALSE)))</f>
        <v/>
      </c>
      <c r="N11" s="6" t="str">
        <f>IF($E11="","",IF($E11="not included",J11,VLOOKUP($E11,'DID-list_Part A'!$A$8:$L$245,11,FALSE)))</f>
        <v/>
      </c>
      <c r="O11" s="6" t="str">
        <f>IF($E11="","",IF($E11="not included",K11,VLOOKUP($E11,'DID-list_Part A'!$A$8:$L$245,12,FALSE)))</f>
        <v/>
      </c>
      <c r="P11" s="245"/>
      <c r="Q11" s="113" t="str">
        <f>IF(OR(P11="1. low adsorption (A&lt;25%)",P11="2. high desorption (D&gt;75%)",P11="3. non-bioaccumulating",P11="Test present"),"Y","N")</f>
        <v>N</v>
      </c>
    </row>
    <row r="12" spans="1:17">
      <c r="A12" s="5">
        <v>3</v>
      </c>
      <c r="B12" s="6" t="str">
        <f>IF('Ingoing substances'!B12="","",'Ingoing substances'!B12)</f>
        <v/>
      </c>
      <c r="C12" s="6" t="str">
        <f>IF('Ingoing substances'!C12="","",'Ingoing substances'!C12)</f>
        <v/>
      </c>
      <c r="D12" s="6" t="str">
        <f>IF('Ingoing substances'!G12="","",'Ingoing substances'!G12)</f>
        <v/>
      </c>
      <c r="E12" s="9"/>
      <c r="F12" s="6" t="str">
        <f>IF(E12="","",VLOOKUP($E12,'DID-list_Part A'!$A$8:$L$245,3,FALSE))</f>
        <v/>
      </c>
      <c r="G12" s="6">
        <f>'Ingoing substances'!M12</f>
        <v>0</v>
      </c>
      <c r="H12" s="8"/>
      <c r="I12" s="8"/>
      <c r="J12" s="8"/>
      <c r="K12" s="8"/>
      <c r="L12" s="6" t="str">
        <f>IF($E12="","",IF($E12="not included",H12,VLOOKUP($E12,'DID-list_Part A'!$A$8:$L$245,10,FALSE)))</f>
        <v/>
      </c>
      <c r="M12" s="6" t="str">
        <f>IF($E12="","",IF($E12="not included",I12,VLOOKUP($E12,'DID-list_Part A'!$A$8:$L$245,9,FALSE)))</f>
        <v/>
      </c>
      <c r="N12" s="6" t="str">
        <f>IF($E12="","",IF($E12="not included",J12,VLOOKUP($E12,'DID-list_Part A'!$A$8:$L$245,11,FALSE)))</f>
        <v/>
      </c>
      <c r="O12" s="6" t="str">
        <f>IF($E12="","",IF($E12="not included",K12,VLOOKUP($E12,'DID-list_Part A'!$A$8:$L$245,12,FALSE)))</f>
        <v/>
      </c>
      <c r="P12" s="245"/>
      <c r="Q12" s="113" t="str">
        <f t="shared" ref="Q12:Q59" si="0">IF(OR(P12="1. low adsorption (A&lt;25%)",P12="2. high desorption (D&gt;75%)",P12="3. non-bioaccumulating",P12="Test present"),"Y","N")</f>
        <v>N</v>
      </c>
    </row>
    <row r="13" spans="1:17">
      <c r="A13" s="5">
        <v>4</v>
      </c>
      <c r="B13" s="6" t="str">
        <f>IF('Ingoing substances'!B13="","",'Ingoing substances'!B13)</f>
        <v/>
      </c>
      <c r="C13" s="6" t="str">
        <f>IF('Ingoing substances'!C13="","",'Ingoing substances'!C13)</f>
        <v/>
      </c>
      <c r="D13" s="6" t="str">
        <f>IF('Ingoing substances'!G13="","",'Ingoing substances'!G13)</f>
        <v/>
      </c>
      <c r="E13" s="9"/>
      <c r="F13" s="6" t="str">
        <f>IF(E13="","",VLOOKUP($E13,'DID-list_Part A'!$A$8:$L$245,3,FALSE))</f>
        <v/>
      </c>
      <c r="G13" s="6">
        <f>'Ingoing substances'!M13</f>
        <v>0</v>
      </c>
      <c r="H13" s="8"/>
      <c r="I13" s="8"/>
      <c r="J13" s="8"/>
      <c r="K13" s="8"/>
      <c r="L13" s="6" t="str">
        <f>IF($E13="","",IF($E13="not included",H13,VLOOKUP($E13,'DID-list_Part A'!$A$8:$L$245,10,FALSE)))</f>
        <v/>
      </c>
      <c r="M13" s="6" t="str">
        <f>IF($E13="","",IF($E13="not included",I13,VLOOKUP($E13,'DID-list_Part A'!$A$8:$L$245,9,FALSE)))</f>
        <v/>
      </c>
      <c r="N13" s="6" t="str">
        <f>IF($E13="","",IF($E13="not included",J13,VLOOKUP($E13,'DID-list_Part A'!$A$8:$L$245,11,FALSE)))</f>
        <v/>
      </c>
      <c r="O13" s="6" t="str">
        <f>IF($E13="","",IF($E13="not included",K13,VLOOKUP($E13,'DID-list_Part A'!$A$8:$L$245,12,FALSE)))</f>
        <v/>
      </c>
      <c r="P13" s="245"/>
      <c r="Q13" s="113" t="str">
        <f t="shared" si="0"/>
        <v>N</v>
      </c>
    </row>
    <row r="14" spans="1:17">
      <c r="A14" s="5">
        <v>5</v>
      </c>
      <c r="B14" s="6" t="str">
        <f>IF('Ingoing substances'!B14="","",'Ingoing substances'!B14)</f>
        <v/>
      </c>
      <c r="C14" s="6" t="str">
        <f>IF('Ingoing substances'!C14="","",'Ingoing substances'!C14)</f>
        <v/>
      </c>
      <c r="D14" s="6" t="str">
        <f>IF('Ingoing substances'!G14="","",'Ingoing substances'!G14)</f>
        <v/>
      </c>
      <c r="E14" s="9"/>
      <c r="F14" s="6" t="str">
        <f>IF(E14="","",VLOOKUP($E14,'DID-list_Part A'!$A$8:$L$245,3,FALSE))</f>
        <v/>
      </c>
      <c r="G14" s="16">
        <f>'Ingoing substances'!M14</f>
        <v>0</v>
      </c>
      <c r="H14" s="8"/>
      <c r="I14" s="8"/>
      <c r="J14" s="8"/>
      <c r="K14" s="8"/>
      <c r="L14" s="6" t="str">
        <f>IF($E14="","",IF($E14="not included",H14,VLOOKUP($E14,'DID-list_Part A'!$A$8:$L$245,10,FALSE)))</f>
        <v/>
      </c>
      <c r="M14" s="6" t="str">
        <f>IF($E14="","",IF($E14="not included",I14,VLOOKUP($E14,'DID-list_Part A'!$A$8:$L$245,9,FALSE)))</f>
        <v/>
      </c>
      <c r="N14" s="6" t="str">
        <f>IF($E14="","",IF($E14="not included",J14,VLOOKUP($E14,'DID-list_Part A'!$A$8:$L$245,11,FALSE)))</f>
        <v/>
      </c>
      <c r="O14" s="6" t="str">
        <f>IF($E14="","",IF($E14="not included",K14,VLOOKUP($E14,'DID-list_Part A'!$A$8:$L$245,12,FALSE)))</f>
        <v/>
      </c>
      <c r="P14" s="245"/>
      <c r="Q14" s="113" t="str">
        <f t="shared" si="0"/>
        <v>N</v>
      </c>
    </row>
    <row r="15" spans="1:17">
      <c r="A15" s="5">
        <v>6</v>
      </c>
      <c r="B15" s="6" t="str">
        <f>IF('Ingoing substances'!B15="","",'Ingoing substances'!B15)</f>
        <v/>
      </c>
      <c r="C15" s="6" t="str">
        <f>IF('Ingoing substances'!C15="","",'Ingoing substances'!C15)</f>
        <v/>
      </c>
      <c r="D15" s="6" t="str">
        <f>IF('Ingoing substances'!G15="","",'Ingoing substances'!G15)</f>
        <v/>
      </c>
      <c r="E15" s="9"/>
      <c r="F15" s="6" t="str">
        <f>IF(E15="","",VLOOKUP($E15,'DID-list_Part A'!$A$8:$L$245,3,FALSE))</f>
        <v/>
      </c>
      <c r="G15" s="6">
        <f>'Ingoing substances'!M15</f>
        <v>0</v>
      </c>
      <c r="H15" s="8"/>
      <c r="I15" s="8"/>
      <c r="J15" s="8"/>
      <c r="K15" s="8"/>
      <c r="L15" s="6" t="str">
        <f>IF($E15="","",IF($E15="not included",H15,VLOOKUP($E15,'DID-list_Part A'!$A$8:$L$245,10,FALSE)))</f>
        <v/>
      </c>
      <c r="M15" s="6" t="str">
        <f>IF($E15="","",IF($E15="not included",I15,VLOOKUP($E15,'DID-list_Part A'!$A$8:$L$245,9,FALSE)))</f>
        <v/>
      </c>
      <c r="N15" s="6" t="str">
        <f>IF($E15="","",IF($E15="not included",J15,VLOOKUP($E15,'DID-list_Part A'!$A$8:$L$245,11,FALSE)))</f>
        <v/>
      </c>
      <c r="O15" s="6" t="str">
        <f>IF($E15="","",IF($E15="not included",K15,VLOOKUP($E15,'DID-list_Part A'!$A$8:$L$245,12,FALSE)))</f>
        <v/>
      </c>
      <c r="P15" s="245"/>
      <c r="Q15" s="113" t="str">
        <f t="shared" si="0"/>
        <v>N</v>
      </c>
    </row>
    <row r="16" spans="1:17">
      <c r="A16" s="5">
        <v>7</v>
      </c>
      <c r="B16" s="6" t="str">
        <f>IF('Ingoing substances'!B16="","",'Ingoing substances'!B16)</f>
        <v/>
      </c>
      <c r="C16" s="6" t="str">
        <f>IF('Ingoing substances'!C16="","",'Ingoing substances'!C16)</f>
        <v/>
      </c>
      <c r="D16" s="6" t="str">
        <f>IF('Ingoing substances'!G16="","",'Ingoing substances'!G16)</f>
        <v/>
      </c>
      <c r="E16" s="9"/>
      <c r="F16" s="6" t="str">
        <f>IF(E16="","",VLOOKUP($E16,'DID-list_Part A'!$A$8:$L$245,3,FALSE))</f>
        <v/>
      </c>
      <c r="G16" s="6">
        <f>'Ingoing substances'!M16</f>
        <v>0</v>
      </c>
      <c r="H16" s="8"/>
      <c r="I16" s="8"/>
      <c r="J16" s="8"/>
      <c r="K16" s="8"/>
      <c r="L16" s="6" t="str">
        <f>IF($E16="","",IF($E16="not included",H16,VLOOKUP($E16,'DID-list_Part A'!$A$8:$L$245,10,FALSE)))</f>
        <v/>
      </c>
      <c r="M16" s="6" t="str">
        <f>IF($E16="","",IF($E16="not included",I16,VLOOKUP($E16,'DID-list_Part A'!$A$8:$L$245,9,FALSE)))</f>
        <v/>
      </c>
      <c r="N16" s="6" t="str">
        <f>IF($E16="","",IF($E16="not included",J16,VLOOKUP($E16,'DID-list_Part A'!$A$8:$L$245,11,FALSE)))</f>
        <v/>
      </c>
      <c r="O16" s="6" t="str">
        <f>IF($E16="","",IF($E16="not included",K16,VLOOKUP($E16,'DID-list_Part A'!$A$8:$L$245,12,FALSE)))</f>
        <v/>
      </c>
      <c r="P16" s="245"/>
      <c r="Q16" s="113" t="str">
        <f t="shared" si="0"/>
        <v>N</v>
      </c>
    </row>
    <row r="17" spans="1:17">
      <c r="A17" s="5">
        <v>8</v>
      </c>
      <c r="B17" s="6" t="str">
        <f>IF('Ingoing substances'!B17="","",'Ingoing substances'!B17)</f>
        <v/>
      </c>
      <c r="C17" s="6" t="str">
        <f>IF('Ingoing substances'!C17="","",'Ingoing substances'!C17)</f>
        <v/>
      </c>
      <c r="D17" s="6" t="str">
        <f>IF('Ingoing substances'!G17="","",'Ingoing substances'!G17)</f>
        <v/>
      </c>
      <c r="E17" s="9"/>
      <c r="F17" s="6" t="str">
        <f>IF(E17="","",VLOOKUP($E17,'DID-list_Part A'!$A$8:$L$245,3,FALSE))</f>
        <v/>
      </c>
      <c r="G17" s="6">
        <f>'Ingoing substances'!M17</f>
        <v>0</v>
      </c>
      <c r="H17" s="8"/>
      <c r="I17" s="8"/>
      <c r="J17" s="8"/>
      <c r="K17" s="8"/>
      <c r="L17" s="6" t="str">
        <f>IF($E17="","",IF($E17="not included",H17,VLOOKUP($E17,'DID-list_Part A'!$A$8:$L$245,10,FALSE)))</f>
        <v/>
      </c>
      <c r="M17" s="6" t="str">
        <f>IF($E17="","",IF($E17="not included",I17,VLOOKUP($E17,'DID-list_Part A'!$A$8:$L$245,9,FALSE)))</f>
        <v/>
      </c>
      <c r="N17" s="6" t="str">
        <f>IF($E17="","",IF($E17="not included",J17,VLOOKUP($E17,'DID-list_Part A'!$A$8:$L$245,11,FALSE)))</f>
        <v/>
      </c>
      <c r="O17" s="6" t="str">
        <f>IF($E17="","",IF($E17="not included",K17,VLOOKUP($E17,'DID-list_Part A'!$A$8:$L$245,12,FALSE)))</f>
        <v/>
      </c>
      <c r="P17" s="245"/>
      <c r="Q17" s="113" t="str">
        <f t="shared" si="0"/>
        <v>N</v>
      </c>
    </row>
    <row r="18" spans="1:17">
      <c r="A18" s="5">
        <v>9</v>
      </c>
      <c r="B18" s="6" t="str">
        <f>IF('Ingoing substances'!B18="","",'Ingoing substances'!B18)</f>
        <v/>
      </c>
      <c r="C18" s="6" t="str">
        <f>IF('Ingoing substances'!C18="","",'Ingoing substances'!C18)</f>
        <v/>
      </c>
      <c r="D18" s="6" t="str">
        <f>IF('Ingoing substances'!G18="","",'Ingoing substances'!G18)</f>
        <v/>
      </c>
      <c r="E18" s="9"/>
      <c r="F18" s="6" t="str">
        <f>IF(E18="","",VLOOKUP($E18,'DID-list_Part A'!$A$8:$L$245,3,FALSE))</f>
        <v/>
      </c>
      <c r="G18" s="6">
        <f>'Ingoing substances'!M18</f>
        <v>0</v>
      </c>
      <c r="H18" s="8"/>
      <c r="I18" s="8"/>
      <c r="J18" s="8"/>
      <c r="K18" s="8"/>
      <c r="L18" s="6" t="str">
        <f>IF($E18="","",IF($E18="not included",H18,VLOOKUP($E18,'DID-list_Part A'!$A$8:$L$245,10,FALSE)))</f>
        <v/>
      </c>
      <c r="M18" s="6" t="str">
        <f>IF($E18="","",IF($E18="not included",I18,VLOOKUP($E18,'DID-list_Part A'!$A$8:$L$245,9,FALSE)))</f>
        <v/>
      </c>
      <c r="N18" s="6" t="str">
        <f>IF($E18="","",IF($E18="not included",J18,VLOOKUP($E18,'DID-list_Part A'!$A$8:$L$245,11,FALSE)))</f>
        <v/>
      </c>
      <c r="O18" s="6" t="str">
        <f>IF($E18="","",IF($E18="not included",K18,VLOOKUP($E18,'DID-list_Part A'!$A$8:$L$245,12,FALSE)))</f>
        <v/>
      </c>
      <c r="P18" s="245"/>
      <c r="Q18" s="113" t="str">
        <f t="shared" si="0"/>
        <v>N</v>
      </c>
    </row>
    <row r="19" spans="1:17">
      <c r="A19" s="5">
        <v>10</v>
      </c>
      <c r="B19" s="6" t="str">
        <f>IF('Ingoing substances'!B19="","",'Ingoing substances'!B19)</f>
        <v/>
      </c>
      <c r="C19" s="6" t="str">
        <f>IF('Ingoing substances'!C19="","",'Ingoing substances'!C19)</f>
        <v/>
      </c>
      <c r="D19" s="6" t="str">
        <f>IF('Ingoing substances'!G19="","",'Ingoing substances'!G19)</f>
        <v/>
      </c>
      <c r="E19" s="9"/>
      <c r="F19" s="6" t="str">
        <f>IF(E19="","",VLOOKUP($E19,'DID-list_Part A'!$A$8:$L$245,3,FALSE))</f>
        <v/>
      </c>
      <c r="G19" s="6">
        <f>'Ingoing substances'!M19</f>
        <v>0</v>
      </c>
      <c r="H19" s="8"/>
      <c r="I19" s="8"/>
      <c r="J19" s="8"/>
      <c r="K19" s="8"/>
      <c r="L19" s="6" t="str">
        <f>IF($E19="","",IF($E19="not included",H19,VLOOKUP($E19,'DID-list_Part A'!$A$8:$L$245,10,FALSE)))</f>
        <v/>
      </c>
      <c r="M19" s="6" t="str">
        <f>IF($E19="","",IF($E19="not included",I19,VLOOKUP($E19,'DID-list_Part A'!$A$8:$L$245,9,FALSE)))</f>
        <v/>
      </c>
      <c r="N19" s="6" t="str">
        <f>IF($E19="","",IF($E19="not included",J19,VLOOKUP($E19,'DID-list_Part A'!$A$8:$L$245,11,FALSE)))</f>
        <v/>
      </c>
      <c r="O19" s="6" t="str">
        <f>IF($E19="","",IF($E19="not included",K19,VLOOKUP($E19,'DID-list_Part A'!$A$8:$L$245,12,FALSE)))</f>
        <v/>
      </c>
      <c r="P19" s="245"/>
      <c r="Q19" s="113" t="str">
        <f t="shared" si="0"/>
        <v>N</v>
      </c>
    </row>
    <row r="20" spans="1:17">
      <c r="A20" s="5">
        <v>11</v>
      </c>
      <c r="B20" s="6" t="str">
        <f>IF('Ingoing substances'!B20="","",'Ingoing substances'!B20)</f>
        <v/>
      </c>
      <c r="C20" s="6" t="str">
        <f>IF('Ingoing substances'!C20="","",'Ingoing substances'!C20)</f>
        <v/>
      </c>
      <c r="D20" s="6" t="str">
        <f>IF('Ingoing substances'!G20="","",'Ingoing substances'!G20)</f>
        <v/>
      </c>
      <c r="E20" s="9"/>
      <c r="F20" s="6" t="str">
        <f>IF(E20="","",VLOOKUP($E20,'DID-list_Part A'!$A$8:$L$245,3,FALSE))</f>
        <v/>
      </c>
      <c r="G20" s="6">
        <f>'Ingoing substances'!M20</f>
        <v>0</v>
      </c>
      <c r="H20" s="8"/>
      <c r="I20" s="8"/>
      <c r="J20" s="8"/>
      <c r="K20" s="8"/>
      <c r="L20" s="6" t="str">
        <f>IF($E20="","",IF($E20="not included",H20,VLOOKUP($E20,'DID-list_Part A'!$A$8:$L$245,10,FALSE)))</f>
        <v/>
      </c>
      <c r="M20" s="6" t="str">
        <f>IF($E20="","",IF($E20="not included",I20,VLOOKUP($E20,'DID-list_Part A'!$A$8:$L$245,9,FALSE)))</f>
        <v/>
      </c>
      <c r="N20" s="6" t="str">
        <f>IF($E20="","",IF($E20="not included",J20,VLOOKUP($E20,'DID-list_Part A'!$A$8:$L$245,11,FALSE)))</f>
        <v/>
      </c>
      <c r="O20" s="6" t="str">
        <f>IF($E20="","",IF($E20="not included",K20,VLOOKUP($E20,'DID-list_Part A'!$A$8:$L$245,12,FALSE)))</f>
        <v/>
      </c>
      <c r="P20" s="245"/>
      <c r="Q20" s="113" t="str">
        <f t="shared" si="0"/>
        <v>N</v>
      </c>
    </row>
    <row r="21" spans="1:17">
      <c r="A21" s="5">
        <v>12</v>
      </c>
      <c r="B21" s="6" t="str">
        <f>IF('Ingoing substances'!B21="","",'Ingoing substances'!B21)</f>
        <v/>
      </c>
      <c r="C21" s="6" t="str">
        <f>IF('Ingoing substances'!C21="","",'Ingoing substances'!C21)</f>
        <v/>
      </c>
      <c r="D21" s="6" t="str">
        <f>IF('Ingoing substances'!G21="","",'Ingoing substances'!G21)</f>
        <v/>
      </c>
      <c r="E21" s="9"/>
      <c r="F21" s="6" t="str">
        <f>IF(E21="","",VLOOKUP($E21,'DID-list_Part A'!$A$8:$L$245,3,FALSE))</f>
        <v/>
      </c>
      <c r="G21" s="6">
        <f>'Ingoing substances'!M21</f>
        <v>0</v>
      </c>
      <c r="H21" s="8"/>
      <c r="I21" s="8"/>
      <c r="J21" s="8"/>
      <c r="K21" s="8"/>
      <c r="L21" s="6" t="str">
        <f>IF($E21="","",IF($E21="not included",H21,VLOOKUP($E21,'DID-list_Part A'!$A$8:$L$245,10,FALSE)))</f>
        <v/>
      </c>
      <c r="M21" s="6" t="str">
        <f>IF($E21="","",IF($E21="not included",I21,VLOOKUP($E21,'DID-list_Part A'!$A$8:$L$245,9,FALSE)))</f>
        <v/>
      </c>
      <c r="N21" s="6" t="str">
        <f>IF($E21="","",IF($E21="not included",J21,VLOOKUP($E21,'DID-list_Part A'!$A$8:$L$245,11,FALSE)))</f>
        <v/>
      </c>
      <c r="O21" s="6" t="str">
        <f>IF($E21="","",IF($E21="not included",K21,VLOOKUP($E21,'DID-list_Part A'!$A$8:$L$245,12,FALSE)))</f>
        <v/>
      </c>
      <c r="P21" s="245"/>
      <c r="Q21" s="113" t="str">
        <f t="shared" si="0"/>
        <v>N</v>
      </c>
    </row>
    <row r="22" spans="1:17">
      <c r="A22" s="5">
        <v>13</v>
      </c>
      <c r="B22" s="6" t="str">
        <f>IF('Ingoing substances'!B22="","",'Ingoing substances'!B22)</f>
        <v/>
      </c>
      <c r="C22" s="6" t="str">
        <f>IF('Ingoing substances'!C22="","",'Ingoing substances'!C22)</f>
        <v/>
      </c>
      <c r="D22" s="6" t="str">
        <f>IF('Ingoing substances'!G22="","",'Ingoing substances'!G22)</f>
        <v/>
      </c>
      <c r="E22" s="9"/>
      <c r="F22" s="6" t="str">
        <f>IF(E22="","",VLOOKUP($E22,'DID-list_Part A'!$A$8:$L$245,3,FALSE))</f>
        <v/>
      </c>
      <c r="G22" s="6">
        <f>'Ingoing substances'!M22</f>
        <v>0</v>
      </c>
      <c r="H22" s="8"/>
      <c r="I22" s="8"/>
      <c r="J22" s="8"/>
      <c r="K22" s="8"/>
      <c r="L22" s="6" t="str">
        <f>IF($E22="","",IF($E22="not included",H22,VLOOKUP($E22,'DID-list_Part A'!$A$8:$L$245,10,FALSE)))</f>
        <v/>
      </c>
      <c r="M22" s="6" t="str">
        <f>IF($E22="","",IF($E22="not included",I22,VLOOKUP($E22,'DID-list_Part A'!$A$8:$L$245,9,FALSE)))</f>
        <v/>
      </c>
      <c r="N22" s="6" t="str">
        <f>IF($E22="","",IF($E22="not included",J22,VLOOKUP($E22,'DID-list_Part A'!$A$8:$L$245,11,FALSE)))</f>
        <v/>
      </c>
      <c r="O22" s="6" t="str">
        <f>IF($E22="","",IF($E22="not included",K22,VLOOKUP($E22,'DID-list_Part A'!$A$8:$L$245,12,FALSE)))</f>
        <v/>
      </c>
      <c r="P22" s="245"/>
      <c r="Q22" s="113" t="str">
        <f t="shared" si="0"/>
        <v>N</v>
      </c>
    </row>
    <row r="23" spans="1:17">
      <c r="A23" s="5">
        <v>14</v>
      </c>
      <c r="B23" s="6" t="str">
        <f>IF('Ingoing substances'!B23="","",'Ingoing substances'!B23)</f>
        <v/>
      </c>
      <c r="C23" s="6" t="str">
        <f>IF('Ingoing substances'!C23="","",'Ingoing substances'!C23)</f>
        <v/>
      </c>
      <c r="D23" s="6" t="str">
        <f>IF('Ingoing substances'!G23="","",'Ingoing substances'!G23)</f>
        <v/>
      </c>
      <c r="E23" s="9"/>
      <c r="F23" s="6" t="str">
        <f>IF(E23="","",VLOOKUP($E23,'DID-list_Part A'!$A$8:$L$245,3,FALSE))</f>
        <v/>
      </c>
      <c r="G23" s="6">
        <f>'Ingoing substances'!M23</f>
        <v>0</v>
      </c>
      <c r="H23" s="8"/>
      <c r="I23" s="8"/>
      <c r="J23" s="8"/>
      <c r="K23" s="8"/>
      <c r="L23" s="6" t="str">
        <f>IF($E23="","",IF($E23="not included",H23,VLOOKUP($E23,'DID-list_Part A'!$A$8:$L$245,10,FALSE)))</f>
        <v/>
      </c>
      <c r="M23" s="6" t="str">
        <f>IF($E23="","",IF($E23="not included",I23,VLOOKUP($E23,'DID-list_Part A'!$A$8:$L$245,9,FALSE)))</f>
        <v/>
      </c>
      <c r="N23" s="6" t="str">
        <f>IF($E23="","",IF($E23="not included",J23,VLOOKUP($E23,'DID-list_Part A'!$A$8:$L$245,11,FALSE)))</f>
        <v/>
      </c>
      <c r="O23" s="6" t="str">
        <f>IF($E23="","",IF($E23="not included",K23,VLOOKUP($E23,'DID-list_Part A'!$A$8:$L$245,12,FALSE)))</f>
        <v/>
      </c>
      <c r="P23" s="245"/>
      <c r="Q23" s="113" t="str">
        <f t="shared" si="0"/>
        <v>N</v>
      </c>
    </row>
    <row r="24" spans="1:17">
      <c r="A24" s="5">
        <v>15</v>
      </c>
      <c r="B24" s="6" t="str">
        <f>IF('Ingoing substances'!B24="","",'Ingoing substances'!B24)</f>
        <v/>
      </c>
      <c r="C24" s="6" t="str">
        <f>IF('Ingoing substances'!C24="","",'Ingoing substances'!C24)</f>
        <v/>
      </c>
      <c r="D24" s="6" t="str">
        <f>IF('Ingoing substances'!G24="","",'Ingoing substances'!G24)</f>
        <v/>
      </c>
      <c r="E24" s="9"/>
      <c r="F24" s="6" t="str">
        <f>IF(E24="","",VLOOKUP($E24,'DID-list_Part A'!$A$8:$L$245,3,FALSE))</f>
        <v/>
      </c>
      <c r="G24" s="6">
        <f>'Ingoing substances'!M24</f>
        <v>0</v>
      </c>
      <c r="H24" s="8"/>
      <c r="I24" s="8"/>
      <c r="J24" s="8"/>
      <c r="K24" s="8"/>
      <c r="L24" s="6" t="str">
        <f>IF($E24="","",IF($E24="not included",H24,VLOOKUP($E24,'DID-list_Part A'!$A$8:$L$245,10,FALSE)))</f>
        <v/>
      </c>
      <c r="M24" s="6" t="str">
        <f>IF($E24="","",IF($E24="not included",I24,VLOOKUP($E24,'DID-list_Part A'!$A$8:$L$245,9,FALSE)))</f>
        <v/>
      </c>
      <c r="N24" s="6" t="str">
        <f>IF($E24="","",IF($E24="not included",J24,VLOOKUP($E24,'DID-list_Part A'!$A$8:$L$245,11,FALSE)))</f>
        <v/>
      </c>
      <c r="O24" s="6" t="str">
        <f>IF($E24="","",IF($E24="not included",K24,VLOOKUP($E24,'DID-list_Part A'!$A$8:$L$245,12,FALSE)))</f>
        <v/>
      </c>
      <c r="P24" s="245"/>
      <c r="Q24" s="113" t="str">
        <f t="shared" si="0"/>
        <v>N</v>
      </c>
    </row>
    <row r="25" spans="1:17">
      <c r="A25" s="5">
        <v>16</v>
      </c>
      <c r="B25" s="6" t="str">
        <f>IF('Ingoing substances'!B25="","",'Ingoing substances'!B25)</f>
        <v/>
      </c>
      <c r="C25" s="6" t="str">
        <f>IF('Ingoing substances'!C25="","",'Ingoing substances'!C25)</f>
        <v/>
      </c>
      <c r="D25" s="6" t="str">
        <f>IF('Ingoing substances'!G25="","",'Ingoing substances'!G25)</f>
        <v/>
      </c>
      <c r="E25" s="9"/>
      <c r="F25" s="6" t="str">
        <f>IF(E25="","",VLOOKUP($E25,'DID-list_Part A'!$A$8:$L$245,3,FALSE))</f>
        <v/>
      </c>
      <c r="G25" s="6">
        <f>'Ingoing substances'!M25</f>
        <v>0</v>
      </c>
      <c r="H25" s="8"/>
      <c r="I25" s="8"/>
      <c r="J25" s="8"/>
      <c r="K25" s="8"/>
      <c r="L25" s="6" t="str">
        <f>IF($E25="","",IF($E25="not included",H25,VLOOKUP($E25,'DID-list_Part A'!$A$8:$L$245,10,FALSE)))</f>
        <v/>
      </c>
      <c r="M25" s="6" t="str">
        <f>IF($E25="","",IF($E25="not included",I25,VLOOKUP($E25,'DID-list_Part A'!$A$8:$L$245,9,FALSE)))</f>
        <v/>
      </c>
      <c r="N25" s="6" t="str">
        <f>IF($E25="","",IF($E25="not included",J25,VLOOKUP($E25,'DID-list_Part A'!$A$8:$L$245,11,FALSE)))</f>
        <v/>
      </c>
      <c r="O25" s="6" t="str">
        <f>IF($E25="","",IF($E25="not included",K25,VLOOKUP($E25,'DID-list_Part A'!$A$8:$L$245,12,FALSE)))</f>
        <v/>
      </c>
      <c r="P25" s="245"/>
      <c r="Q25" s="113" t="str">
        <f t="shared" si="0"/>
        <v>N</v>
      </c>
    </row>
    <row r="26" spans="1:17">
      <c r="A26" s="5">
        <v>17</v>
      </c>
      <c r="B26" s="6" t="str">
        <f>IF('Ingoing substances'!B26="","",'Ingoing substances'!B26)</f>
        <v/>
      </c>
      <c r="C26" s="6" t="str">
        <f>IF('Ingoing substances'!C26="","",'Ingoing substances'!C26)</f>
        <v/>
      </c>
      <c r="D26" s="6" t="str">
        <f>IF('Ingoing substances'!G26="","",'Ingoing substances'!G26)</f>
        <v/>
      </c>
      <c r="E26" s="9"/>
      <c r="F26" s="6" t="str">
        <f>IF(E26="","",VLOOKUP($E26,'DID-list_Part A'!$A$8:$L$245,3,FALSE))</f>
        <v/>
      </c>
      <c r="G26" s="6">
        <f>'Ingoing substances'!M26</f>
        <v>0</v>
      </c>
      <c r="H26" s="8"/>
      <c r="I26" s="8"/>
      <c r="J26" s="8"/>
      <c r="K26" s="8"/>
      <c r="L26" s="6" t="str">
        <f>IF($E26="","",IF($E26="not included",H26,VLOOKUP($E26,'DID-list_Part A'!$A$8:$L$245,10,FALSE)))</f>
        <v/>
      </c>
      <c r="M26" s="6" t="str">
        <f>IF($E26="","",IF($E26="not included",I26,VLOOKUP($E26,'DID-list_Part A'!$A$8:$L$245,9,FALSE)))</f>
        <v/>
      </c>
      <c r="N26" s="6" t="str">
        <f>IF($E26="","",IF($E26="not included",J26,VLOOKUP($E26,'DID-list_Part A'!$A$8:$L$245,11,FALSE)))</f>
        <v/>
      </c>
      <c r="O26" s="6" t="str">
        <f>IF($E26="","",IF($E26="not included",K26,VLOOKUP($E26,'DID-list_Part A'!$A$8:$L$245,12,FALSE)))</f>
        <v/>
      </c>
      <c r="P26" s="245"/>
      <c r="Q26" s="113" t="str">
        <f t="shared" si="0"/>
        <v>N</v>
      </c>
    </row>
    <row r="27" spans="1:17">
      <c r="A27" s="5">
        <v>18</v>
      </c>
      <c r="B27" s="6" t="str">
        <f>IF('Ingoing substances'!B27="","",'Ingoing substances'!B27)</f>
        <v/>
      </c>
      <c r="C27" s="6" t="str">
        <f>IF('Ingoing substances'!C27="","",'Ingoing substances'!C27)</f>
        <v/>
      </c>
      <c r="D27" s="6" t="str">
        <f>IF('Ingoing substances'!G27="","",'Ingoing substances'!G27)</f>
        <v/>
      </c>
      <c r="E27" s="9"/>
      <c r="F27" s="6" t="str">
        <f>IF(E27="","",VLOOKUP($E27,'DID-list_Part A'!$A$8:$L$245,3,FALSE))</f>
        <v/>
      </c>
      <c r="G27" s="6">
        <f>'Ingoing substances'!M27</f>
        <v>0</v>
      </c>
      <c r="H27" s="8"/>
      <c r="I27" s="8"/>
      <c r="J27" s="8"/>
      <c r="K27" s="8"/>
      <c r="L27" s="6" t="str">
        <f>IF($E27="","",IF($E27="not included",H27,VLOOKUP($E27,'DID-list_Part A'!$A$8:$L$245,10,FALSE)))</f>
        <v/>
      </c>
      <c r="M27" s="6" t="str">
        <f>IF($E27="","",IF($E27="not included",I27,VLOOKUP($E27,'DID-list_Part A'!$A$8:$L$245,9,FALSE)))</f>
        <v/>
      </c>
      <c r="N27" s="6" t="str">
        <f>IF($E27="","",IF($E27="not included",J27,VLOOKUP($E27,'DID-list_Part A'!$A$8:$L$245,11,FALSE)))</f>
        <v/>
      </c>
      <c r="O27" s="6" t="str">
        <f>IF($E27="","",IF($E27="not included",K27,VLOOKUP($E27,'DID-list_Part A'!$A$8:$L$245,12,FALSE)))</f>
        <v/>
      </c>
      <c r="P27" s="245"/>
      <c r="Q27" s="113" t="str">
        <f t="shared" si="0"/>
        <v>N</v>
      </c>
    </row>
    <row r="28" spans="1:17">
      <c r="A28" s="5">
        <v>19</v>
      </c>
      <c r="B28" s="6" t="str">
        <f>IF('Ingoing substances'!B28="","",'Ingoing substances'!B28)</f>
        <v/>
      </c>
      <c r="C28" s="6" t="str">
        <f>IF('Ingoing substances'!C28="","",'Ingoing substances'!C28)</f>
        <v/>
      </c>
      <c r="D28" s="6" t="str">
        <f>IF('Ingoing substances'!G28="","",'Ingoing substances'!G28)</f>
        <v/>
      </c>
      <c r="E28" s="9"/>
      <c r="F28" s="6" t="str">
        <f>IF(E28="","",VLOOKUP($E28,'DID-list_Part A'!$A$8:$L$245,3,FALSE))</f>
        <v/>
      </c>
      <c r="G28" s="6">
        <f>'Ingoing substances'!M28</f>
        <v>0</v>
      </c>
      <c r="H28" s="8"/>
      <c r="I28" s="8"/>
      <c r="J28" s="8"/>
      <c r="K28" s="8"/>
      <c r="L28" s="6" t="str">
        <f>IF($E28="","",IF($E28="not included",H28,VLOOKUP($E28,'DID-list_Part A'!$A$8:$L$245,10,FALSE)))</f>
        <v/>
      </c>
      <c r="M28" s="6" t="str">
        <f>IF($E28="","",IF($E28="not included",I28,VLOOKUP($E28,'DID-list_Part A'!$A$8:$L$245,9,FALSE)))</f>
        <v/>
      </c>
      <c r="N28" s="6" t="str">
        <f>IF($E28="","",IF($E28="not included",J28,VLOOKUP($E28,'DID-list_Part A'!$A$8:$L$245,11,FALSE)))</f>
        <v/>
      </c>
      <c r="O28" s="6" t="str">
        <f>IF($E28="","",IF($E28="not included",K28,VLOOKUP($E28,'DID-list_Part A'!$A$8:$L$245,12,FALSE)))</f>
        <v/>
      </c>
      <c r="P28" s="245"/>
      <c r="Q28" s="113" t="str">
        <f t="shared" si="0"/>
        <v>N</v>
      </c>
    </row>
    <row r="29" spans="1:17">
      <c r="A29" s="5">
        <v>20</v>
      </c>
      <c r="B29" s="6" t="str">
        <f>IF('Ingoing substances'!B29="","",'Ingoing substances'!B29)</f>
        <v/>
      </c>
      <c r="C29" s="6" t="str">
        <f>IF('Ingoing substances'!C29="","",'Ingoing substances'!C29)</f>
        <v/>
      </c>
      <c r="D29" s="6" t="str">
        <f>IF('Ingoing substances'!G29="","",'Ingoing substances'!G29)</f>
        <v/>
      </c>
      <c r="E29" s="9"/>
      <c r="F29" s="6" t="str">
        <f>IF(E29="","",VLOOKUP($E29,'DID-list_Part A'!$A$8:$L$245,3,FALSE))</f>
        <v/>
      </c>
      <c r="G29" s="6">
        <f>'Ingoing substances'!M29</f>
        <v>0</v>
      </c>
      <c r="H29" s="8"/>
      <c r="I29" s="8"/>
      <c r="J29" s="8"/>
      <c r="K29" s="8"/>
      <c r="L29" s="6" t="str">
        <f>IF($E29="","",IF($E29="not included",H29,VLOOKUP($E29,'DID-list_Part A'!$A$8:$L$245,10,FALSE)))</f>
        <v/>
      </c>
      <c r="M29" s="6" t="str">
        <f>IF($E29="","",IF($E29="not included",I29,VLOOKUP($E29,'DID-list_Part A'!$A$8:$L$245,9,FALSE)))</f>
        <v/>
      </c>
      <c r="N29" s="6" t="str">
        <f>IF($E29="","",IF($E29="not included",J29,VLOOKUP($E29,'DID-list_Part A'!$A$8:$L$245,11,FALSE)))</f>
        <v/>
      </c>
      <c r="O29" s="6" t="str">
        <f>IF($E29="","",IF($E29="not included",K29,VLOOKUP($E29,'DID-list_Part A'!$A$8:$L$245,12,FALSE)))</f>
        <v/>
      </c>
      <c r="P29" s="245"/>
      <c r="Q29" s="113" t="str">
        <f t="shared" si="0"/>
        <v>N</v>
      </c>
    </row>
    <row r="30" spans="1:17">
      <c r="A30" s="5">
        <v>21</v>
      </c>
      <c r="B30" s="6" t="str">
        <f>IF('Ingoing substances'!B30="","",'Ingoing substances'!B30)</f>
        <v/>
      </c>
      <c r="C30" s="6" t="str">
        <f>IF('Ingoing substances'!C30="","",'Ingoing substances'!C30)</f>
        <v/>
      </c>
      <c r="D30" s="6" t="str">
        <f>IF('Ingoing substances'!G30="","",'Ingoing substances'!G30)</f>
        <v/>
      </c>
      <c r="E30" s="9"/>
      <c r="F30" s="6" t="str">
        <f>IF(E30="","",VLOOKUP($E30,'DID-list_Part A'!$A$8:$L$245,3,FALSE))</f>
        <v/>
      </c>
      <c r="G30" s="6">
        <f>'Ingoing substances'!M30</f>
        <v>0</v>
      </c>
      <c r="H30" s="8"/>
      <c r="I30" s="8"/>
      <c r="J30" s="8"/>
      <c r="K30" s="8"/>
      <c r="L30" s="6" t="str">
        <f>IF($E30="","",IF($E30="not included",H30,VLOOKUP($E30,'DID-list_Part A'!$A$8:$L$245,10,FALSE)))</f>
        <v/>
      </c>
      <c r="M30" s="6" t="str">
        <f>IF($E30="","",IF($E30="not included",I30,VLOOKUP($E30,'DID-list_Part A'!$A$8:$L$245,9,FALSE)))</f>
        <v/>
      </c>
      <c r="N30" s="6" t="str">
        <f>IF($E30="","",IF($E30="not included",J30,VLOOKUP($E30,'DID-list_Part A'!$A$8:$L$245,11,FALSE)))</f>
        <v/>
      </c>
      <c r="O30" s="6" t="str">
        <f>IF($E30="","",IF($E30="not included",K30,VLOOKUP($E30,'DID-list_Part A'!$A$8:$L$245,12,FALSE)))</f>
        <v/>
      </c>
      <c r="P30" s="245"/>
      <c r="Q30" s="113" t="str">
        <f t="shared" si="0"/>
        <v>N</v>
      </c>
    </row>
    <row r="31" spans="1:17">
      <c r="A31" s="5">
        <v>22</v>
      </c>
      <c r="B31" s="6" t="str">
        <f>IF('Ingoing substances'!B31="","",'Ingoing substances'!B31)</f>
        <v/>
      </c>
      <c r="C31" s="6" t="str">
        <f>IF('Ingoing substances'!C31="","",'Ingoing substances'!C31)</f>
        <v/>
      </c>
      <c r="D31" s="6" t="str">
        <f>IF('Ingoing substances'!G31="","",'Ingoing substances'!G31)</f>
        <v/>
      </c>
      <c r="E31" s="9"/>
      <c r="F31" s="6" t="str">
        <f>IF(E31="","",VLOOKUP($E31,'DID-list_Part A'!$A$8:$L$245,3,FALSE))</f>
        <v/>
      </c>
      <c r="G31" s="6">
        <f>'Ingoing substances'!M31</f>
        <v>0</v>
      </c>
      <c r="H31" s="8"/>
      <c r="I31" s="8"/>
      <c r="J31" s="8"/>
      <c r="K31" s="8"/>
      <c r="L31" s="6" t="str">
        <f>IF($E31="","",IF($E31="not included",H31,VLOOKUP($E31,'DID-list_Part A'!$A$8:$L$245,10,FALSE)))</f>
        <v/>
      </c>
      <c r="M31" s="6" t="str">
        <f>IF($E31="","",IF($E31="not included",I31,VLOOKUP($E31,'DID-list_Part A'!$A$8:$L$245,9,FALSE)))</f>
        <v/>
      </c>
      <c r="N31" s="6" t="str">
        <f>IF($E31="","",IF($E31="not included",J31,VLOOKUP($E31,'DID-list_Part A'!$A$8:$L$245,11,FALSE)))</f>
        <v/>
      </c>
      <c r="O31" s="6" t="str">
        <f>IF($E31="","",IF($E31="not included",K31,VLOOKUP($E31,'DID-list_Part A'!$A$8:$L$245,12,FALSE)))</f>
        <v/>
      </c>
      <c r="P31" s="245"/>
      <c r="Q31" s="113" t="str">
        <f t="shared" si="0"/>
        <v>N</v>
      </c>
    </row>
    <row r="32" spans="1:17">
      <c r="A32" s="5">
        <v>23</v>
      </c>
      <c r="B32" s="6" t="str">
        <f>IF('Ingoing substances'!B32="","",'Ingoing substances'!B32)</f>
        <v/>
      </c>
      <c r="C32" s="6" t="str">
        <f>IF('Ingoing substances'!C32="","",'Ingoing substances'!C32)</f>
        <v/>
      </c>
      <c r="D32" s="6" t="str">
        <f>IF('Ingoing substances'!G32="","",'Ingoing substances'!G32)</f>
        <v/>
      </c>
      <c r="E32" s="9"/>
      <c r="F32" s="6" t="str">
        <f>IF(E32="","",VLOOKUP($E32,'DID-list_Part A'!$A$8:$L$245,3,FALSE))</f>
        <v/>
      </c>
      <c r="G32" s="6">
        <f>'Ingoing substances'!M32</f>
        <v>0</v>
      </c>
      <c r="H32" s="8"/>
      <c r="I32" s="8"/>
      <c r="J32" s="8"/>
      <c r="K32" s="8"/>
      <c r="L32" s="6" t="str">
        <f>IF($E32="","",IF($E32="not included",H32,VLOOKUP($E32,'DID-list_Part A'!$A$8:$L$245,10,FALSE)))</f>
        <v/>
      </c>
      <c r="M32" s="6" t="str">
        <f>IF($E32="","",IF($E32="not included",I32,VLOOKUP($E32,'DID-list_Part A'!$A$8:$L$245,9,FALSE)))</f>
        <v/>
      </c>
      <c r="N32" s="6" t="str">
        <f>IF($E32="","",IF($E32="not included",J32,VLOOKUP($E32,'DID-list_Part A'!$A$8:$L$245,11,FALSE)))</f>
        <v/>
      </c>
      <c r="O32" s="6" t="str">
        <f>IF($E32="","",IF($E32="not included",K32,VLOOKUP($E32,'DID-list_Part A'!$A$8:$L$245,12,FALSE)))</f>
        <v/>
      </c>
      <c r="P32" s="245"/>
      <c r="Q32" s="113" t="str">
        <f t="shared" si="0"/>
        <v>N</v>
      </c>
    </row>
    <row r="33" spans="1:17">
      <c r="A33" s="5">
        <v>24</v>
      </c>
      <c r="B33" s="6" t="str">
        <f>IF('Ingoing substances'!B33="","",'Ingoing substances'!B33)</f>
        <v/>
      </c>
      <c r="C33" s="6" t="str">
        <f>IF('Ingoing substances'!C33="","",'Ingoing substances'!C33)</f>
        <v/>
      </c>
      <c r="D33" s="6" t="str">
        <f>IF('Ingoing substances'!G33="","",'Ingoing substances'!G33)</f>
        <v/>
      </c>
      <c r="E33" s="9"/>
      <c r="F33" s="6" t="str">
        <f>IF(E33="","",VLOOKUP($E33,'DID-list_Part A'!$A$8:$L$245,3,FALSE))</f>
        <v/>
      </c>
      <c r="G33" s="6">
        <f>'Ingoing substances'!M33</f>
        <v>0</v>
      </c>
      <c r="H33" s="8"/>
      <c r="I33" s="8"/>
      <c r="J33" s="8"/>
      <c r="K33" s="8"/>
      <c r="L33" s="6" t="str">
        <f>IF($E33="","",IF($E33="not included",H33,VLOOKUP($E33,'DID-list_Part A'!$A$8:$L$245,10,FALSE)))</f>
        <v/>
      </c>
      <c r="M33" s="6" t="str">
        <f>IF($E33="","",IF($E33="not included",I33,VLOOKUP($E33,'DID-list_Part A'!$A$8:$L$245,9,FALSE)))</f>
        <v/>
      </c>
      <c r="N33" s="6" t="str">
        <f>IF($E33="","",IF($E33="not included",J33,VLOOKUP($E33,'DID-list_Part A'!$A$8:$L$245,11,FALSE)))</f>
        <v/>
      </c>
      <c r="O33" s="6" t="str">
        <f>IF($E33="","",IF($E33="not included",K33,VLOOKUP($E33,'DID-list_Part A'!$A$8:$L$245,12,FALSE)))</f>
        <v/>
      </c>
      <c r="P33" s="245"/>
      <c r="Q33" s="113" t="str">
        <f t="shared" si="0"/>
        <v>N</v>
      </c>
    </row>
    <row r="34" spans="1:17">
      <c r="A34" s="5">
        <v>25</v>
      </c>
      <c r="B34" s="6" t="str">
        <f>IF('Ingoing substances'!B34="","",'Ingoing substances'!B34)</f>
        <v/>
      </c>
      <c r="C34" s="6" t="str">
        <f>IF('Ingoing substances'!C34="","",'Ingoing substances'!C34)</f>
        <v/>
      </c>
      <c r="D34" s="6" t="str">
        <f>IF('Ingoing substances'!G34="","",'Ingoing substances'!G34)</f>
        <v/>
      </c>
      <c r="E34" s="9"/>
      <c r="F34" s="6" t="str">
        <f>IF(E34="","",VLOOKUP($E34,'DID-list_Part A'!$A$8:$L$245,3,FALSE))</f>
        <v/>
      </c>
      <c r="G34" s="6">
        <f>'Ingoing substances'!M34</f>
        <v>0</v>
      </c>
      <c r="H34" s="8"/>
      <c r="I34" s="8"/>
      <c r="J34" s="8"/>
      <c r="K34" s="8"/>
      <c r="L34" s="6" t="str">
        <f>IF($E34="","",IF($E34="not included",H34,VLOOKUP($E34,'DID-list_Part A'!$A$8:$L$245,10,FALSE)))</f>
        <v/>
      </c>
      <c r="M34" s="6" t="str">
        <f>IF($E34="","",IF($E34="not included",I34,VLOOKUP($E34,'DID-list_Part A'!$A$8:$L$245,9,FALSE)))</f>
        <v/>
      </c>
      <c r="N34" s="6" t="str">
        <f>IF($E34="","",IF($E34="not included",J34,VLOOKUP($E34,'DID-list_Part A'!$A$8:$L$245,11,FALSE)))</f>
        <v/>
      </c>
      <c r="O34" s="6" t="str">
        <f>IF($E34="","",IF($E34="not included",K34,VLOOKUP($E34,'DID-list_Part A'!$A$8:$L$245,12,FALSE)))</f>
        <v/>
      </c>
      <c r="P34" s="245"/>
      <c r="Q34" s="113" t="str">
        <f t="shared" si="0"/>
        <v>N</v>
      </c>
    </row>
    <row r="35" spans="1:17">
      <c r="A35" s="5">
        <v>26</v>
      </c>
      <c r="B35" s="6" t="str">
        <f>IF('Ingoing substances'!B35="","",'Ingoing substances'!B35)</f>
        <v/>
      </c>
      <c r="C35" s="6" t="str">
        <f>IF('Ingoing substances'!C35="","",'Ingoing substances'!C35)</f>
        <v/>
      </c>
      <c r="D35" s="6" t="str">
        <f>IF('Ingoing substances'!G35="","",'Ingoing substances'!G35)</f>
        <v/>
      </c>
      <c r="E35" s="9"/>
      <c r="F35" s="6" t="str">
        <f>IF(E35="","",VLOOKUP($E35,'DID-list_Part A'!$A$8:$L$245,3,FALSE))</f>
        <v/>
      </c>
      <c r="G35" s="6">
        <f>'Ingoing substances'!M35</f>
        <v>0</v>
      </c>
      <c r="H35" s="8"/>
      <c r="I35" s="8"/>
      <c r="J35" s="8"/>
      <c r="K35" s="8"/>
      <c r="L35" s="6" t="str">
        <f>IF($E35="","",IF($E35="not included",H35,VLOOKUP($E35,'DID-list_Part A'!$A$8:$L$245,10,FALSE)))</f>
        <v/>
      </c>
      <c r="M35" s="6" t="str">
        <f>IF($E35="","",IF($E35="not included",I35,VLOOKUP($E35,'DID-list_Part A'!$A$8:$L$245,9,FALSE)))</f>
        <v/>
      </c>
      <c r="N35" s="6" t="str">
        <f>IF($E35="","",IF($E35="not included",J35,VLOOKUP($E35,'DID-list_Part A'!$A$8:$L$245,11,FALSE)))</f>
        <v/>
      </c>
      <c r="O35" s="6" t="str">
        <f>IF($E35="","",IF($E35="not included",K35,VLOOKUP($E35,'DID-list_Part A'!$A$8:$L$245,12,FALSE)))</f>
        <v/>
      </c>
      <c r="P35" s="245"/>
      <c r="Q35" s="113" t="str">
        <f t="shared" si="0"/>
        <v>N</v>
      </c>
    </row>
    <row r="36" spans="1:17">
      <c r="A36" s="5">
        <v>27</v>
      </c>
      <c r="B36" s="6" t="str">
        <f>IF('Ingoing substances'!B36="","",'Ingoing substances'!B36)</f>
        <v/>
      </c>
      <c r="C36" s="6" t="str">
        <f>IF('Ingoing substances'!C36="","",'Ingoing substances'!C36)</f>
        <v/>
      </c>
      <c r="D36" s="6" t="str">
        <f>IF('Ingoing substances'!G36="","",'Ingoing substances'!G36)</f>
        <v/>
      </c>
      <c r="E36" s="9"/>
      <c r="F36" s="6" t="str">
        <f>IF(E36="","",VLOOKUP($E36,'DID-list_Part A'!$A$8:$L$245,3,FALSE))</f>
        <v/>
      </c>
      <c r="G36" s="6">
        <f>'Ingoing substances'!M36</f>
        <v>0</v>
      </c>
      <c r="H36" s="8"/>
      <c r="I36" s="8"/>
      <c r="J36" s="8"/>
      <c r="K36" s="8"/>
      <c r="L36" s="6" t="str">
        <f>IF($E36="","",IF($E36="not included",H36,VLOOKUP($E36,'DID-list_Part A'!$A$8:$L$245,10,FALSE)))</f>
        <v/>
      </c>
      <c r="M36" s="6" t="str">
        <f>IF($E36="","",IF($E36="not included",I36,VLOOKUP($E36,'DID-list_Part A'!$A$8:$L$245,9,FALSE)))</f>
        <v/>
      </c>
      <c r="N36" s="6" t="str">
        <f>IF($E36="","",IF($E36="not included",J36,VLOOKUP($E36,'DID-list_Part A'!$A$8:$L$245,11,FALSE)))</f>
        <v/>
      </c>
      <c r="O36" s="6" t="str">
        <f>IF($E36="","",IF($E36="not included",K36,VLOOKUP($E36,'DID-list_Part A'!$A$8:$L$245,12,FALSE)))</f>
        <v/>
      </c>
      <c r="P36" s="245"/>
      <c r="Q36" s="113" t="str">
        <f t="shared" si="0"/>
        <v>N</v>
      </c>
    </row>
    <row r="37" spans="1:17">
      <c r="A37" s="5">
        <v>28</v>
      </c>
      <c r="B37" s="6" t="str">
        <f>IF('Ingoing substances'!B37="","",'Ingoing substances'!B37)</f>
        <v/>
      </c>
      <c r="C37" s="6" t="str">
        <f>IF('Ingoing substances'!C37="","",'Ingoing substances'!C37)</f>
        <v/>
      </c>
      <c r="D37" s="6" t="str">
        <f>IF('Ingoing substances'!G37="","",'Ingoing substances'!G37)</f>
        <v/>
      </c>
      <c r="E37" s="9"/>
      <c r="F37" s="6" t="str">
        <f>IF(E37="","",VLOOKUP($E37,'DID-list_Part A'!$A$8:$L$245,3,FALSE))</f>
        <v/>
      </c>
      <c r="G37" s="6">
        <f>'Ingoing substances'!M37</f>
        <v>0</v>
      </c>
      <c r="H37" s="8"/>
      <c r="I37" s="8"/>
      <c r="J37" s="8"/>
      <c r="K37" s="8"/>
      <c r="L37" s="6" t="str">
        <f>IF($E37="","",IF($E37="not included",H37,VLOOKUP($E37,'DID-list_Part A'!$A$8:$L$245,10,FALSE)))</f>
        <v/>
      </c>
      <c r="M37" s="6" t="str">
        <f>IF($E37="","",IF($E37="not included",I37,VLOOKUP($E37,'DID-list_Part A'!$A$8:$L$245,9,FALSE)))</f>
        <v/>
      </c>
      <c r="N37" s="6" t="str">
        <f>IF($E37="","",IF($E37="not included",J37,VLOOKUP($E37,'DID-list_Part A'!$A$8:$L$245,11,FALSE)))</f>
        <v/>
      </c>
      <c r="O37" s="6" t="str">
        <f>IF($E37="","",IF($E37="not included",K37,VLOOKUP($E37,'DID-list_Part A'!$A$8:$L$245,12,FALSE)))</f>
        <v/>
      </c>
      <c r="P37" s="245"/>
      <c r="Q37" s="113" t="str">
        <f t="shared" si="0"/>
        <v>N</v>
      </c>
    </row>
    <row r="38" spans="1:17">
      <c r="A38" s="5">
        <v>29</v>
      </c>
      <c r="B38" s="6" t="str">
        <f>IF('Ingoing substances'!B38="","",'Ingoing substances'!B38)</f>
        <v/>
      </c>
      <c r="C38" s="6" t="str">
        <f>IF('Ingoing substances'!C38="","",'Ingoing substances'!C38)</f>
        <v/>
      </c>
      <c r="D38" s="6" t="str">
        <f>IF('Ingoing substances'!G38="","",'Ingoing substances'!G38)</f>
        <v/>
      </c>
      <c r="E38" s="9"/>
      <c r="F38" s="6" t="str">
        <f>IF(E38="","",VLOOKUP($E38,'DID-list_Part A'!$A$8:$L$245,3,FALSE))</f>
        <v/>
      </c>
      <c r="G38" s="6">
        <f>'Ingoing substances'!M38</f>
        <v>0</v>
      </c>
      <c r="H38" s="8"/>
      <c r="I38" s="8"/>
      <c r="J38" s="8"/>
      <c r="K38" s="8"/>
      <c r="L38" s="6" t="str">
        <f>IF($E38="","",IF($E38="not included",H38,VLOOKUP($E38,'DID-list_Part A'!$A$8:$L$245,10,FALSE)))</f>
        <v/>
      </c>
      <c r="M38" s="6" t="str">
        <f>IF($E38="","",IF($E38="not included",I38,VLOOKUP($E38,'DID-list_Part A'!$A$8:$L$245,9,FALSE)))</f>
        <v/>
      </c>
      <c r="N38" s="6" t="str">
        <f>IF($E38="","",IF($E38="not included",J38,VLOOKUP($E38,'DID-list_Part A'!$A$8:$L$245,11,FALSE)))</f>
        <v/>
      </c>
      <c r="O38" s="6" t="str">
        <f>IF($E38="","",IF($E38="not included",K38,VLOOKUP($E38,'DID-list_Part A'!$A$8:$L$245,12,FALSE)))</f>
        <v/>
      </c>
      <c r="P38" s="245"/>
      <c r="Q38" s="113" t="str">
        <f t="shared" si="0"/>
        <v>N</v>
      </c>
    </row>
    <row r="39" spans="1:17">
      <c r="A39" s="5">
        <v>30</v>
      </c>
      <c r="B39" s="6" t="str">
        <f>IF('Ingoing substances'!B39="","",'Ingoing substances'!B39)</f>
        <v/>
      </c>
      <c r="C39" s="6" t="str">
        <f>IF('Ingoing substances'!C39="","",'Ingoing substances'!C39)</f>
        <v/>
      </c>
      <c r="D39" s="6" t="str">
        <f>IF('Ingoing substances'!G39="","",'Ingoing substances'!G39)</f>
        <v/>
      </c>
      <c r="E39" s="9"/>
      <c r="F39" s="6" t="str">
        <f>IF(E39="","",VLOOKUP($E39,'DID-list_Part A'!$A$8:$L$245,3,FALSE))</f>
        <v/>
      </c>
      <c r="G39" s="6">
        <f>'Ingoing substances'!M39</f>
        <v>0</v>
      </c>
      <c r="H39" s="8"/>
      <c r="I39" s="8"/>
      <c r="J39" s="8"/>
      <c r="K39" s="8"/>
      <c r="L39" s="6" t="str">
        <f>IF($E39="","",IF($E39="not included",H39,VLOOKUP($E39,'DID-list_Part A'!$A$8:$L$245,10,FALSE)))</f>
        <v/>
      </c>
      <c r="M39" s="6" t="str">
        <f>IF($E39="","",IF($E39="not included",I39,VLOOKUP($E39,'DID-list_Part A'!$A$8:$L$245,9,FALSE)))</f>
        <v/>
      </c>
      <c r="N39" s="6" t="str">
        <f>IF($E39="","",IF($E39="not included",J39,VLOOKUP($E39,'DID-list_Part A'!$A$8:$L$245,11,FALSE)))</f>
        <v/>
      </c>
      <c r="O39" s="6" t="str">
        <f>IF($E39="","",IF($E39="not included",K39,VLOOKUP($E39,'DID-list_Part A'!$A$8:$L$245,12,FALSE)))</f>
        <v/>
      </c>
      <c r="P39" s="245"/>
      <c r="Q39" s="113" t="str">
        <f t="shared" si="0"/>
        <v>N</v>
      </c>
    </row>
    <row r="40" spans="1:17">
      <c r="A40" s="5">
        <v>31</v>
      </c>
      <c r="B40" s="6" t="str">
        <f>IF('Ingoing substances'!B40="","",'Ingoing substances'!B40)</f>
        <v/>
      </c>
      <c r="C40" s="6" t="str">
        <f>IF('Ingoing substances'!C40="","",'Ingoing substances'!C40)</f>
        <v/>
      </c>
      <c r="D40" s="6" t="str">
        <f>IF('Ingoing substances'!G40="","",'Ingoing substances'!G40)</f>
        <v/>
      </c>
      <c r="E40" s="9"/>
      <c r="F40" s="6" t="str">
        <f>IF(E40="","",VLOOKUP($E40,'DID-list_Part A'!$A$8:$L$245,3,FALSE))</f>
        <v/>
      </c>
      <c r="G40" s="6">
        <f>'Ingoing substances'!M40</f>
        <v>0</v>
      </c>
      <c r="H40" s="8"/>
      <c r="I40" s="8"/>
      <c r="J40" s="8"/>
      <c r="K40" s="8"/>
      <c r="L40" s="6" t="str">
        <f>IF($E40="","",IF($E40="not included",H40,VLOOKUP($E40,'DID-list_Part A'!$A$8:$L$245,10,FALSE)))</f>
        <v/>
      </c>
      <c r="M40" s="6" t="str">
        <f>IF($E40="","",IF($E40="not included",I40,VLOOKUP($E40,'DID-list_Part A'!$A$8:$L$245,9,FALSE)))</f>
        <v/>
      </c>
      <c r="N40" s="6" t="str">
        <f>IF($E40="","",IF($E40="not included",J40,VLOOKUP($E40,'DID-list_Part A'!$A$8:$L$245,11,FALSE)))</f>
        <v/>
      </c>
      <c r="O40" s="6" t="str">
        <f>IF($E40="","",IF($E40="not included",K40,VLOOKUP($E40,'DID-list_Part A'!$A$8:$L$245,12,FALSE)))</f>
        <v/>
      </c>
      <c r="P40" s="245"/>
      <c r="Q40" s="113" t="str">
        <f t="shared" si="0"/>
        <v>N</v>
      </c>
    </row>
    <row r="41" spans="1:17">
      <c r="A41" s="5">
        <v>32</v>
      </c>
      <c r="B41" s="6" t="str">
        <f>IF('Ingoing substances'!B41="","",'Ingoing substances'!B41)</f>
        <v/>
      </c>
      <c r="C41" s="6" t="str">
        <f>IF('Ingoing substances'!C41="","",'Ingoing substances'!C41)</f>
        <v/>
      </c>
      <c r="D41" s="6" t="str">
        <f>IF('Ingoing substances'!G41="","",'Ingoing substances'!G41)</f>
        <v/>
      </c>
      <c r="E41" s="9"/>
      <c r="F41" s="6" t="str">
        <f>IF(E41="","",VLOOKUP($E41,'DID-list_Part A'!$A$8:$L$245,3,FALSE))</f>
        <v/>
      </c>
      <c r="G41" s="6">
        <f>'Ingoing substances'!M41</f>
        <v>0</v>
      </c>
      <c r="H41" s="8"/>
      <c r="I41" s="8"/>
      <c r="J41" s="8"/>
      <c r="K41" s="8"/>
      <c r="L41" s="6" t="str">
        <f>IF($E41="","",IF($E41="not included",H41,VLOOKUP($E41,'DID-list_Part A'!$A$8:$L$245,10,FALSE)))</f>
        <v/>
      </c>
      <c r="M41" s="6" t="str">
        <f>IF($E41="","",IF($E41="not included",I41,VLOOKUP($E41,'DID-list_Part A'!$A$8:$L$245,9,FALSE)))</f>
        <v/>
      </c>
      <c r="N41" s="6" t="str">
        <f>IF($E41="","",IF($E41="not included",J41,VLOOKUP($E41,'DID-list_Part A'!$A$8:$L$245,11,FALSE)))</f>
        <v/>
      </c>
      <c r="O41" s="6" t="str">
        <f>IF($E41="","",IF($E41="not included",K41,VLOOKUP($E41,'DID-list_Part A'!$A$8:$L$245,12,FALSE)))</f>
        <v/>
      </c>
      <c r="P41" s="245"/>
      <c r="Q41" s="113" t="str">
        <f t="shared" si="0"/>
        <v>N</v>
      </c>
    </row>
    <row r="42" spans="1:17">
      <c r="A42" s="5">
        <v>33</v>
      </c>
      <c r="B42" s="6" t="str">
        <f>IF('Ingoing substances'!B42="","",'Ingoing substances'!B42)</f>
        <v/>
      </c>
      <c r="C42" s="6" t="str">
        <f>IF('Ingoing substances'!C42="","",'Ingoing substances'!C42)</f>
        <v/>
      </c>
      <c r="D42" s="6" t="str">
        <f>IF('Ingoing substances'!G42="","",'Ingoing substances'!G42)</f>
        <v/>
      </c>
      <c r="E42" s="9"/>
      <c r="F42" s="6" t="str">
        <f>IF(E42="","",VLOOKUP($E42,'DID-list_Part A'!$A$8:$L$245,3,FALSE))</f>
        <v/>
      </c>
      <c r="G42" s="6">
        <f>'Ingoing substances'!M42</f>
        <v>0</v>
      </c>
      <c r="H42" s="8"/>
      <c r="I42" s="8"/>
      <c r="J42" s="8"/>
      <c r="K42" s="8"/>
      <c r="L42" s="6" t="str">
        <f>IF($E42="","",IF($E42="not included",H42,VLOOKUP($E42,'DID-list_Part A'!$A$8:$L$245,10,FALSE)))</f>
        <v/>
      </c>
      <c r="M42" s="6" t="str">
        <f>IF($E42="","",IF($E42="not included",I42,VLOOKUP($E42,'DID-list_Part A'!$A$8:$L$245,9,FALSE)))</f>
        <v/>
      </c>
      <c r="N42" s="6" t="str">
        <f>IF($E42="","",IF($E42="not included",J42,VLOOKUP($E42,'DID-list_Part A'!$A$8:$L$245,11,FALSE)))</f>
        <v/>
      </c>
      <c r="O42" s="6" t="str">
        <f>IF($E42="","",IF($E42="not included",K42,VLOOKUP($E42,'DID-list_Part A'!$A$8:$L$245,12,FALSE)))</f>
        <v/>
      </c>
      <c r="P42" s="245"/>
      <c r="Q42" s="113" t="str">
        <f t="shared" si="0"/>
        <v>N</v>
      </c>
    </row>
    <row r="43" spans="1:17">
      <c r="A43" s="5">
        <v>34</v>
      </c>
      <c r="B43" s="6" t="str">
        <f>IF('Ingoing substances'!B43="","",'Ingoing substances'!B43)</f>
        <v/>
      </c>
      <c r="C43" s="6" t="str">
        <f>IF('Ingoing substances'!C43="","",'Ingoing substances'!C43)</f>
        <v/>
      </c>
      <c r="D43" s="6" t="str">
        <f>IF('Ingoing substances'!G43="","",'Ingoing substances'!G43)</f>
        <v/>
      </c>
      <c r="E43" s="9"/>
      <c r="F43" s="6" t="str">
        <f>IF(E43="","",VLOOKUP($E43,'DID-list_Part A'!$A$8:$L$245,3,FALSE))</f>
        <v/>
      </c>
      <c r="G43" s="6">
        <f>'Ingoing substances'!M43</f>
        <v>0</v>
      </c>
      <c r="H43" s="8"/>
      <c r="I43" s="8"/>
      <c r="J43" s="8"/>
      <c r="K43" s="8"/>
      <c r="L43" s="6" t="str">
        <f>IF($E43="","",IF($E43="not included",H43,VLOOKUP($E43,'DID-list_Part A'!$A$8:$L$245,10,FALSE)))</f>
        <v/>
      </c>
      <c r="M43" s="6" t="str">
        <f>IF($E43="","",IF($E43="not included",I43,VLOOKUP($E43,'DID-list_Part A'!$A$8:$L$245,9,FALSE)))</f>
        <v/>
      </c>
      <c r="N43" s="6" t="str">
        <f>IF($E43="","",IF($E43="not included",J43,VLOOKUP($E43,'DID-list_Part A'!$A$8:$L$245,11,FALSE)))</f>
        <v/>
      </c>
      <c r="O43" s="6" t="str">
        <f>IF($E43="","",IF($E43="not included",K43,VLOOKUP($E43,'DID-list_Part A'!$A$8:$L$245,12,FALSE)))</f>
        <v/>
      </c>
      <c r="P43" s="245"/>
      <c r="Q43" s="113" t="str">
        <f t="shared" si="0"/>
        <v>N</v>
      </c>
    </row>
    <row r="44" spans="1:17">
      <c r="A44" s="5">
        <v>35</v>
      </c>
      <c r="B44" s="6" t="str">
        <f>IF('Ingoing substances'!B44="","",'Ingoing substances'!B44)</f>
        <v/>
      </c>
      <c r="C44" s="6" t="str">
        <f>IF('Ingoing substances'!C44="","",'Ingoing substances'!C44)</f>
        <v/>
      </c>
      <c r="D44" s="6" t="str">
        <f>IF('Ingoing substances'!G44="","",'Ingoing substances'!G44)</f>
        <v/>
      </c>
      <c r="E44" s="9"/>
      <c r="F44" s="6" t="str">
        <f>IF(E44="","",VLOOKUP($E44,'DID-list_Part A'!$A$8:$L$245,3,FALSE))</f>
        <v/>
      </c>
      <c r="G44" s="6">
        <f>'Ingoing substances'!M44</f>
        <v>0</v>
      </c>
      <c r="H44" s="8"/>
      <c r="I44" s="8"/>
      <c r="J44" s="8"/>
      <c r="K44" s="8"/>
      <c r="L44" s="6" t="str">
        <f>IF($E44="","",IF($E44="not included",H44,VLOOKUP($E44,'DID-list_Part A'!$A$8:$L$245,10,FALSE)))</f>
        <v/>
      </c>
      <c r="M44" s="6" t="str">
        <f>IF($E44="","",IF($E44="not included",I44,VLOOKUP($E44,'DID-list_Part A'!$A$8:$L$245,9,FALSE)))</f>
        <v/>
      </c>
      <c r="N44" s="6" t="str">
        <f>IF($E44="","",IF($E44="not included",J44,VLOOKUP($E44,'DID-list_Part A'!$A$8:$L$245,11,FALSE)))</f>
        <v/>
      </c>
      <c r="O44" s="6" t="str">
        <f>IF($E44="","",IF($E44="not included",K44,VLOOKUP($E44,'DID-list_Part A'!$A$8:$L$245,12,FALSE)))</f>
        <v/>
      </c>
      <c r="P44" s="245"/>
      <c r="Q44" s="113" t="str">
        <f t="shared" si="0"/>
        <v>N</v>
      </c>
    </row>
    <row r="45" spans="1:17">
      <c r="A45" s="5">
        <v>36</v>
      </c>
      <c r="B45" s="6" t="str">
        <f>IF('Ingoing substances'!B45="","",'Ingoing substances'!B45)</f>
        <v/>
      </c>
      <c r="C45" s="6" t="str">
        <f>IF('Ingoing substances'!C45="","",'Ingoing substances'!C45)</f>
        <v/>
      </c>
      <c r="D45" s="6" t="str">
        <f>IF('Ingoing substances'!G45="","",'Ingoing substances'!G45)</f>
        <v/>
      </c>
      <c r="E45" s="9"/>
      <c r="F45" s="6" t="str">
        <f>IF(E45="","",VLOOKUP($E45,'DID-list_Part A'!$A$8:$L$245,3,FALSE))</f>
        <v/>
      </c>
      <c r="G45" s="6">
        <f>'Ingoing substances'!M45</f>
        <v>0</v>
      </c>
      <c r="H45" s="8"/>
      <c r="I45" s="8"/>
      <c r="J45" s="8"/>
      <c r="K45" s="8"/>
      <c r="L45" s="6" t="str">
        <f>IF($E45="","",IF($E45="not included",H45,VLOOKUP($E45,'DID-list_Part A'!$A$8:$L$245,10,FALSE)))</f>
        <v/>
      </c>
      <c r="M45" s="6" t="str">
        <f>IF($E45="","",IF($E45="not included",I45,VLOOKUP($E45,'DID-list_Part A'!$A$8:$L$245,9,FALSE)))</f>
        <v/>
      </c>
      <c r="N45" s="6" t="str">
        <f>IF($E45="","",IF($E45="not included",J45,VLOOKUP($E45,'DID-list_Part A'!$A$8:$L$245,11,FALSE)))</f>
        <v/>
      </c>
      <c r="O45" s="6" t="str">
        <f>IF($E45="","",IF($E45="not included",K45,VLOOKUP($E45,'DID-list_Part A'!$A$8:$L$245,12,FALSE)))</f>
        <v/>
      </c>
      <c r="P45" s="245"/>
      <c r="Q45" s="113" t="str">
        <f t="shared" si="0"/>
        <v>N</v>
      </c>
    </row>
    <row r="46" spans="1:17">
      <c r="A46" s="5">
        <v>37</v>
      </c>
      <c r="B46" s="6" t="str">
        <f>IF('Ingoing substances'!B46="","",'Ingoing substances'!B46)</f>
        <v/>
      </c>
      <c r="C46" s="6" t="str">
        <f>IF('Ingoing substances'!C46="","",'Ingoing substances'!C46)</f>
        <v/>
      </c>
      <c r="D46" s="6" t="str">
        <f>IF('Ingoing substances'!G46="","",'Ingoing substances'!G46)</f>
        <v/>
      </c>
      <c r="E46" s="9"/>
      <c r="F46" s="6" t="str">
        <f>IF(E46="","",VLOOKUP($E46,'DID-list_Part A'!$A$8:$L$245,3,FALSE))</f>
        <v/>
      </c>
      <c r="G46" s="6">
        <f>'Ingoing substances'!M46</f>
        <v>0</v>
      </c>
      <c r="H46" s="8"/>
      <c r="I46" s="8"/>
      <c r="J46" s="8"/>
      <c r="K46" s="8"/>
      <c r="L46" s="6" t="str">
        <f>IF($E46="","",IF($E46="not included",H46,VLOOKUP($E46,'DID-list_Part A'!$A$8:$L$245,10,FALSE)))</f>
        <v/>
      </c>
      <c r="M46" s="6" t="str">
        <f>IF($E46="","",IF($E46="not included",I46,VLOOKUP($E46,'DID-list_Part A'!$A$8:$L$245,9,FALSE)))</f>
        <v/>
      </c>
      <c r="N46" s="6" t="str">
        <f>IF($E46="","",IF($E46="not included",J46,VLOOKUP($E46,'DID-list_Part A'!$A$8:$L$245,11,FALSE)))</f>
        <v/>
      </c>
      <c r="O46" s="6" t="str">
        <f>IF($E46="","",IF($E46="not included",K46,VLOOKUP($E46,'DID-list_Part A'!$A$8:$L$245,12,FALSE)))</f>
        <v/>
      </c>
      <c r="P46" s="245"/>
      <c r="Q46" s="113" t="str">
        <f t="shared" si="0"/>
        <v>N</v>
      </c>
    </row>
    <row r="47" spans="1:17">
      <c r="A47" s="5">
        <v>38</v>
      </c>
      <c r="B47" s="6" t="str">
        <f>IF('Ingoing substances'!B47="","",'Ingoing substances'!B47)</f>
        <v/>
      </c>
      <c r="C47" s="6" t="str">
        <f>IF('Ingoing substances'!C47="","",'Ingoing substances'!C47)</f>
        <v/>
      </c>
      <c r="D47" s="6" t="str">
        <f>IF('Ingoing substances'!G47="","",'Ingoing substances'!G47)</f>
        <v/>
      </c>
      <c r="E47" s="9"/>
      <c r="F47" s="6" t="str">
        <f>IF(E47="","",VLOOKUP($E47,'DID-list_Part A'!$A$8:$L$245,3,FALSE))</f>
        <v/>
      </c>
      <c r="G47" s="6">
        <f>'Ingoing substances'!M47</f>
        <v>0</v>
      </c>
      <c r="H47" s="8"/>
      <c r="I47" s="8"/>
      <c r="J47" s="8"/>
      <c r="K47" s="8"/>
      <c r="L47" s="6" t="str">
        <f>IF($E47="","",IF($E47="not included",H47,VLOOKUP($E47,'DID-list_Part A'!$A$8:$L$245,10,FALSE)))</f>
        <v/>
      </c>
      <c r="M47" s="6" t="str">
        <f>IF($E47="","",IF($E47="not included",I47,VLOOKUP($E47,'DID-list_Part A'!$A$8:$L$245,9,FALSE)))</f>
        <v/>
      </c>
      <c r="N47" s="6" t="str">
        <f>IF($E47="","",IF($E47="not included",J47,VLOOKUP($E47,'DID-list_Part A'!$A$8:$L$245,11,FALSE)))</f>
        <v/>
      </c>
      <c r="O47" s="6" t="str">
        <f>IF($E47="","",IF($E47="not included",K47,VLOOKUP($E47,'DID-list_Part A'!$A$8:$L$245,12,FALSE)))</f>
        <v/>
      </c>
      <c r="P47" s="245"/>
      <c r="Q47" s="113" t="str">
        <f t="shared" si="0"/>
        <v>N</v>
      </c>
    </row>
    <row r="48" spans="1:17">
      <c r="A48" s="5">
        <v>39</v>
      </c>
      <c r="B48" s="6" t="str">
        <f>IF('Ingoing substances'!B48="","",'Ingoing substances'!B48)</f>
        <v/>
      </c>
      <c r="C48" s="6" t="str">
        <f>IF('Ingoing substances'!C48="","",'Ingoing substances'!C48)</f>
        <v/>
      </c>
      <c r="D48" s="6" t="str">
        <f>IF('Ingoing substances'!G48="","",'Ingoing substances'!G48)</f>
        <v/>
      </c>
      <c r="E48" s="9"/>
      <c r="F48" s="6" t="str">
        <f>IF(E48="","",VLOOKUP($E48,'DID-list_Part A'!$A$8:$L$245,3,FALSE))</f>
        <v/>
      </c>
      <c r="G48" s="6">
        <f>'Ingoing substances'!M48</f>
        <v>0</v>
      </c>
      <c r="H48" s="8"/>
      <c r="I48" s="8"/>
      <c r="J48" s="8"/>
      <c r="K48" s="8"/>
      <c r="L48" s="6" t="str">
        <f>IF($E48="","",IF($E48="not included",H48,VLOOKUP($E48,'DID-list_Part A'!$A$8:$L$245,10,FALSE)))</f>
        <v/>
      </c>
      <c r="M48" s="6" t="str">
        <f>IF($E48="","",IF($E48="not included",I48,VLOOKUP($E48,'DID-list_Part A'!$A$8:$L$245,9,FALSE)))</f>
        <v/>
      </c>
      <c r="N48" s="6" t="str">
        <f>IF($E48="","",IF($E48="not included",J48,VLOOKUP($E48,'DID-list_Part A'!$A$8:$L$245,11,FALSE)))</f>
        <v/>
      </c>
      <c r="O48" s="6" t="str">
        <f>IF($E48="","",IF($E48="not included",K48,VLOOKUP($E48,'DID-list_Part A'!$A$8:$L$245,12,FALSE)))</f>
        <v/>
      </c>
      <c r="P48" s="245"/>
      <c r="Q48" s="113" t="str">
        <f t="shared" si="0"/>
        <v>N</v>
      </c>
    </row>
    <row r="49" spans="1:17">
      <c r="A49" s="5">
        <v>40</v>
      </c>
      <c r="B49" s="6" t="str">
        <f>IF('Ingoing substances'!B49="","",'Ingoing substances'!B49)</f>
        <v/>
      </c>
      <c r="C49" s="6" t="str">
        <f>IF('Ingoing substances'!C49="","",'Ingoing substances'!C49)</f>
        <v/>
      </c>
      <c r="D49" s="6" t="str">
        <f>IF('Ingoing substances'!G49="","",'Ingoing substances'!G49)</f>
        <v/>
      </c>
      <c r="E49" s="9"/>
      <c r="F49" s="6" t="str">
        <f>IF(E49="","",VLOOKUP($E49,'DID-list_Part A'!$A$8:$L$245,3,FALSE))</f>
        <v/>
      </c>
      <c r="G49" s="6">
        <f>'Ingoing substances'!M49</f>
        <v>0</v>
      </c>
      <c r="H49" s="8"/>
      <c r="I49" s="8"/>
      <c r="J49" s="8"/>
      <c r="K49" s="8"/>
      <c r="L49" s="6" t="str">
        <f>IF($E49="","",IF($E49="not included",H49,VLOOKUP($E49,'DID-list_Part A'!$A$8:$L$245,10,FALSE)))</f>
        <v/>
      </c>
      <c r="M49" s="6" t="str">
        <f>IF($E49="","",IF($E49="not included",I49,VLOOKUP($E49,'DID-list_Part A'!$A$8:$L$245,9,FALSE)))</f>
        <v/>
      </c>
      <c r="N49" s="6" t="str">
        <f>IF($E49="","",IF($E49="not included",J49,VLOOKUP($E49,'DID-list_Part A'!$A$8:$L$245,11,FALSE)))</f>
        <v/>
      </c>
      <c r="O49" s="6" t="str">
        <f>IF($E49="","",IF($E49="not included",K49,VLOOKUP($E49,'DID-list_Part A'!$A$8:$L$245,12,FALSE)))</f>
        <v/>
      </c>
      <c r="P49" s="245"/>
      <c r="Q49" s="113" t="str">
        <f t="shared" si="0"/>
        <v>N</v>
      </c>
    </row>
    <row r="50" spans="1:17">
      <c r="A50" s="5">
        <v>41</v>
      </c>
      <c r="B50" s="6" t="str">
        <f>IF('Ingoing substances'!B50="","",'Ingoing substances'!B50)</f>
        <v/>
      </c>
      <c r="C50" s="6" t="str">
        <f>IF('Ingoing substances'!C50="","",'Ingoing substances'!C50)</f>
        <v/>
      </c>
      <c r="D50" s="6" t="str">
        <f>IF('Ingoing substances'!G50="","",'Ingoing substances'!G50)</f>
        <v/>
      </c>
      <c r="E50" s="9"/>
      <c r="F50" s="6" t="str">
        <f>IF(E50="","",VLOOKUP($E50,'DID-list_Part A'!$A$8:$L$245,3,FALSE))</f>
        <v/>
      </c>
      <c r="G50" s="6">
        <f>'Ingoing substances'!M50</f>
        <v>0</v>
      </c>
      <c r="H50" s="8"/>
      <c r="I50" s="8"/>
      <c r="J50" s="8"/>
      <c r="K50" s="8"/>
      <c r="L50" s="6" t="str">
        <f>IF($E50="","",IF($E50="not included",H50,VLOOKUP($E50,'DID-list_Part A'!$A$8:$L$245,10,FALSE)))</f>
        <v/>
      </c>
      <c r="M50" s="6" t="str">
        <f>IF($E50="","",IF($E50="not included",I50,VLOOKUP($E50,'DID-list_Part A'!$A$8:$L$245,9,FALSE)))</f>
        <v/>
      </c>
      <c r="N50" s="6" t="str">
        <f>IF($E50="","",IF($E50="not included",J50,VLOOKUP($E50,'DID-list_Part A'!$A$8:$L$245,11,FALSE)))</f>
        <v/>
      </c>
      <c r="O50" s="6" t="str">
        <f>IF($E50="","",IF($E50="not included",K50,VLOOKUP($E50,'DID-list_Part A'!$A$8:$L$245,12,FALSE)))</f>
        <v/>
      </c>
      <c r="P50" s="245"/>
      <c r="Q50" s="113" t="str">
        <f t="shared" si="0"/>
        <v>N</v>
      </c>
    </row>
    <row r="51" spans="1:17">
      <c r="A51" s="5">
        <v>42</v>
      </c>
      <c r="B51" s="6" t="str">
        <f>IF('Ingoing substances'!B51="","",'Ingoing substances'!B51)</f>
        <v/>
      </c>
      <c r="C51" s="6" t="str">
        <f>IF('Ingoing substances'!C51="","",'Ingoing substances'!C51)</f>
        <v/>
      </c>
      <c r="D51" s="6" t="str">
        <f>IF('Ingoing substances'!G51="","",'Ingoing substances'!G51)</f>
        <v/>
      </c>
      <c r="E51" s="9"/>
      <c r="F51" s="6" t="str">
        <f>IF(E51="","",VLOOKUP($E51,'DID-list_Part A'!$A$8:$L$245,3,FALSE))</f>
        <v/>
      </c>
      <c r="G51" s="6">
        <f>'Ingoing substances'!M51</f>
        <v>0</v>
      </c>
      <c r="H51" s="8"/>
      <c r="I51" s="8"/>
      <c r="J51" s="8"/>
      <c r="K51" s="8"/>
      <c r="L51" s="6" t="str">
        <f>IF($E51="","",IF($E51="not included",H51,VLOOKUP($E51,'DID-list_Part A'!$A$8:$L$245,10,FALSE)))</f>
        <v/>
      </c>
      <c r="M51" s="6" t="str">
        <f>IF($E51="","",IF($E51="not included",I51,VLOOKUP($E51,'DID-list_Part A'!$A$8:$L$245,9,FALSE)))</f>
        <v/>
      </c>
      <c r="N51" s="6" t="str">
        <f>IF($E51="","",IF($E51="not included",J51,VLOOKUP($E51,'DID-list_Part A'!$A$8:$L$245,11,FALSE)))</f>
        <v/>
      </c>
      <c r="O51" s="6" t="str">
        <f>IF($E51="","",IF($E51="not included",K51,VLOOKUP($E51,'DID-list_Part A'!$A$8:$L$245,12,FALSE)))</f>
        <v/>
      </c>
      <c r="P51" s="245"/>
      <c r="Q51" s="113" t="str">
        <f t="shared" si="0"/>
        <v>N</v>
      </c>
    </row>
    <row r="52" spans="1:17">
      <c r="A52" s="5">
        <v>43</v>
      </c>
      <c r="B52" s="6" t="str">
        <f>IF('Ingoing substances'!B52="","",'Ingoing substances'!B52)</f>
        <v/>
      </c>
      <c r="C52" s="6" t="str">
        <f>IF('Ingoing substances'!C52="","",'Ingoing substances'!C52)</f>
        <v/>
      </c>
      <c r="D52" s="6" t="str">
        <f>IF('Ingoing substances'!G52="","",'Ingoing substances'!G52)</f>
        <v/>
      </c>
      <c r="E52" s="9"/>
      <c r="F52" s="6" t="str">
        <f>IF(E52="","",VLOOKUP($E52,'DID-list_Part A'!$A$8:$L$245,3,FALSE))</f>
        <v/>
      </c>
      <c r="G52" s="6">
        <f>'Ingoing substances'!M52</f>
        <v>0</v>
      </c>
      <c r="H52" s="8"/>
      <c r="I52" s="8"/>
      <c r="J52" s="8"/>
      <c r="K52" s="8"/>
      <c r="L52" s="6" t="str">
        <f>IF($E52="","",IF($E52="not included",H52,VLOOKUP($E52,'DID-list_Part A'!$A$8:$L$245,10,FALSE)))</f>
        <v/>
      </c>
      <c r="M52" s="6" t="str">
        <f>IF($E52="","",IF($E52="not included",I52,VLOOKUP($E52,'DID-list_Part A'!$A$8:$L$245,9,FALSE)))</f>
        <v/>
      </c>
      <c r="N52" s="6" t="str">
        <f>IF($E52="","",IF($E52="not included",J52,VLOOKUP($E52,'DID-list_Part A'!$A$8:$L$245,11,FALSE)))</f>
        <v/>
      </c>
      <c r="O52" s="6" t="str">
        <f>IF($E52="","",IF($E52="not included",K52,VLOOKUP($E52,'DID-list_Part A'!$A$8:$L$245,12,FALSE)))</f>
        <v/>
      </c>
      <c r="P52" s="245"/>
      <c r="Q52" s="113" t="str">
        <f t="shared" si="0"/>
        <v>N</v>
      </c>
    </row>
    <row r="53" spans="1:17">
      <c r="A53" s="5">
        <v>44</v>
      </c>
      <c r="B53" s="6" t="str">
        <f>IF('Ingoing substances'!B53="","",'Ingoing substances'!B53)</f>
        <v/>
      </c>
      <c r="C53" s="6" t="str">
        <f>IF('Ingoing substances'!C53="","",'Ingoing substances'!C53)</f>
        <v/>
      </c>
      <c r="D53" s="6" t="str">
        <f>IF('Ingoing substances'!G53="","",'Ingoing substances'!G53)</f>
        <v/>
      </c>
      <c r="E53" s="9"/>
      <c r="F53" s="6" t="str">
        <f>IF(E53="","",VLOOKUP($E53,'DID-list_Part A'!$A$8:$L$245,3,FALSE))</f>
        <v/>
      </c>
      <c r="G53" s="6">
        <f>'Ingoing substances'!M53</f>
        <v>0</v>
      </c>
      <c r="H53" s="8"/>
      <c r="I53" s="8"/>
      <c r="J53" s="8"/>
      <c r="K53" s="8"/>
      <c r="L53" s="6" t="str">
        <f>IF($E53="","",IF($E53="not included",H53,VLOOKUP($E53,'DID-list_Part A'!$A$8:$L$245,10,FALSE)))</f>
        <v/>
      </c>
      <c r="M53" s="6" t="str">
        <f>IF($E53="","",IF($E53="not included",I53,VLOOKUP($E53,'DID-list_Part A'!$A$8:$L$245,9,FALSE)))</f>
        <v/>
      </c>
      <c r="N53" s="6" t="str">
        <f>IF($E53="","",IF($E53="not included",J53,VLOOKUP($E53,'DID-list_Part A'!$A$8:$L$245,11,FALSE)))</f>
        <v/>
      </c>
      <c r="O53" s="6" t="str">
        <f>IF($E53="","",IF($E53="not included",K53,VLOOKUP($E53,'DID-list_Part A'!$A$8:$L$245,12,FALSE)))</f>
        <v/>
      </c>
      <c r="P53" s="245"/>
      <c r="Q53" s="113" t="str">
        <f t="shared" si="0"/>
        <v>N</v>
      </c>
    </row>
    <row r="54" spans="1:17">
      <c r="A54" s="5">
        <v>45</v>
      </c>
      <c r="B54" s="6" t="str">
        <f>IF('Ingoing substances'!B54="","",'Ingoing substances'!B54)</f>
        <v/>
      </c>
      <c r="C54" s="6" t="str">
        <f>IF('Ingoing substances'!C54="","",'Ingoing substances'!C54)</f>
        <v/>
      </c>
      <c r="D54" s="6" t="str">
        <f>IF('Ingoing substances'!G54="","",'Ingoing substances'!G54)</f>
        <v/>
      </c>
      <c r="E54" s="9"/>
      <c r="F54" s="6" t="str">
        <f>IF(E54="","",VLOOKUP($E54,'DID-list_Part A'!$A$8:$L$245,3,FALSE))</f>
        <v/>
      </c>
      <c r="G54" s="6">
        <f>'Ingoing substances'!M54</f>
        <v>0</v>
      </c>
      <c r="H54" s="8"/>
      <c r="I54" s="8"/>
      <c r="J54" s="8"/>
      <c r="K54" s="8"/>
      <c r="L54" s="6" t="str">
        <f>IF($E54="","",IF($E54="not included",H54,VLOOKUP($E54,'DID-list_Part A'!$A$8:$L$245,10,FALSE)))</f>
        <v/>
      </c>
      <c r="M54" s="6" t="str">
        <f>IF($E54="","",IF($E54="not included",I54,VLOOKUP($E54,'DID-list_Part A'!$A$8:$L$245,9,FALSE)))</f>
        <v/>
      </c>
      <c r="N54" s="6" t="str">
        <f>IF($E54="","",IF($E54="not included",J54,VLOOKUP($E54,'DID-list_Part A'!$A$8:$L$245,11,FALSE)))</f>
        <v/>
      </c>
      <c r="O54" s="6" t="str">
        <f>IF($E54="","",IF($E54="not included",K54,VLOOKUP($E54,'DID-list_Part A'!$A$8:$L$245,12,FALSE)))</f>
        <v/>
      </c>
      <c r="P54" s="245"/>
      <c r="Q54" s="113" t="str">
        <f t="shared" si="0"/>
        <v>N</v>
      </c>
    </row>
    <row r="55" spans="1:17">
      <c r="A55" s="5">
        <v>46</v>
      </c>
      <c r="B55" s="6" t="str">
        <f>IF('Ingoing substances'!B55="","",'Ingoing substances'!B55)</f>
        <v/>
      </c>
      <c r="C55" s="6" t="str">
        <f>IF('Ingoing substances'!C55="","",'Ingoing substances'!C55)</f>
        <v/>
      </c>
      <c r="D55" s="6" t="str">
        <f>IF('Ingoing substances'!G55="","",'Ingoing substances'!G55)</f>
        <v/>
      </c>
      <c r="E55" s="9"/>
      <c r="F55" s="6" t="str">
        <f>IF(E55="","",VLOOKUP($E55,'DID-list_Part A'!$A$8:$L$245,3,FALSE))</f>
        <v/>
      </c>
      <c r="G55" s="6">
        <f>'Ingoing substances'!M55</f>
        <v>0</v>
      </c>
      <c r="H55" s="8"/>
      <c r="I55" s="8"/>
      <c r="J55" s="8"/>
      <c r="K55" s="8"/>
      <c r="L55" s="6" t="str">
        <f>IF($E55="","",IF($E55="not included",H55,VLOOKUP($E55,'DID-list_Part A'!$A$8:$L$245,10,FALSE)))</f>
        <v/>
      </c>
      <c r="M55" s="6" t="str">
        <f>IF($E55="","",IF($E55="not included",I55,VLOOKUP($E55,'DID-list_Part A'!$A$8:$L$245,9,FALSE)))</f>
        <v/>
      </c>
      <c r="N55" s="6" t="str">
        <f>IF($E55="","",IF($E55="not included",J55,VLOOKUP($E55,'DID-list_Part A'!$A$8:$L$245,11,FALSE)))</f>
        <v/>
      </c>
      <c r="O55" s="6" t="str">
        <f>IF($E55="","",IF($E55="not included",K55,VLOOKUP($E55,'DID-list_Part A'!$A$8:$L$245,12,FALSE)))</f>
        <v/>
      </c>
      <c r="P55" s="245"/>
      <c r="Q55" s="113" t="str">
        <f t="shared" si="0"/>
        <v>N</v>
      </c>
    </row>
    <row r="56" spans="1:17">
      <c r="A56" s="5">
        <v>47</v>
      </c>
      <c r="B56" s="6" t="str">
        <f>IF('Ingoing substances'!B56="","",'Ingoing substances'!B56)</f>
        <v/>
      </c>
      <c r="C56" s="6" t="str">
        <f>IF('Ingoing substances'!C56="","",'Ingoing substances'!C56)</f>
        <v/>
      </c>
      <c r="D56" s="6" t="str">
        <f>IF('Ingoing substances'!G56="","",'Ingoing substances'!G56)</f>
        <v/>
      </c>
      <c r="E56" s="9"/>
      <c r="F56" s="6" t="str">
        <f>IF(E56="","",VLOOKUP($E56,'DID-list_Part A'!$A$8:$L$245,3,FALSE))</f>
        <v/>
      </c>
      <c r="G56" s="6">
        <f>'Ingoing substances'!M56</f>
        <v>0</v>
      </c>
      <c r="H56" s="8"/>
      <c r="I56" s="8"/>
      <c r="J56" s="8"/>
      <c r="K56" s="8"/>
      <c r="L56" s="6" t="str">
        <f>IF($E56="","",IF($E56="not included",H56,VLOOKUP($E56,'DID-list_Part A'!$A$8:$L$245,10,FALSE)))</f>
        <v/>
      </c>
      <c r="M56" s="6" t="str">
        <f>IF($E56="","",IF($E56="not included",I56,VLOOKUP($E56,'DID-list_Part A'!$A$8:$L$245,9,FALSE)))</f>
        <v/>
      </c>
      <c r="N56" s="6" t="str">
        <f>IF($E56="","",IF($E56="not included",J56,VLOOKUP($E56,'DID-list_Part A'!$A$8:$L$245,11,FALSE)))</f>
        <v/>
      </c>
      <c r="O56" s="6" t="str">
        <f>IF($E56="","",IF($E56="not included",K56,VLOOKUP($E56,'DID-list_Part A'!$A$8:$L$245,12,FALSE)))</f>
        <v/>
      </c>
      <c r="P56" s="245"/>
      <c r="Q56" s="113" t="str">
        <f t="shared" si="0"/>
        <v>N</v>
      </c>
    </row>
    <row r="57" spans="1:17">
      <c r="A57" s="5">
        <v>48</v>
      </c>
      <c r="B57" s="6" t="str">
        <f>IF('Ingoing substances'!B57="","",'Ingoing substances'!B57)</f>
        <v/>
      </c>
      <c r="C57" s="6" t="str">
        <f>IF('Ingoing substances'!C57="","",'Ingoing substances'!C57)</f>
        <v/>
      </c>
      <c r="D57" s="6" t="str">
        <f>IF('Ingoing substances'!G57="","",'Ingoing substances'!G57)</f>
        <v/>
      </c>
      <c r="E57" s="9"/>
      <c r="F57" s="6" t="str">
        <f>IF(E57="","",VLOOKUP($E57,'DID-list_Part A'!$A$8:$L$245,3,FALSE))</f>
        <v/>
      </c>
      <c r="G57" s="6">
        <f>'Ingoing substances'!M57</f>
        <v>0</v>
      </c>
      <c r="H57" s="8"/>
      <c r="I57" s="8"/>
      <c r="J57" s="8"/>
      <c r="K57" s="8"/>
      <c r="L57" s="6" t="str">
        <f>IF($E57="","",IF($E57="not included",H57,VLOOKUP($E57,'DID-list_Part A'!$A$8:$L$245,10,FALSE)))</f>
        <v/>
      </c>
      <c r="M57" s="6" t="str">
        <f>IF($E57="","",IF($E57="not included",I57,VLOOKUP($E57,'DID-list_Part A'!$A$8:$L$245,9,FALSE)))</f>
        <v/>
      </c>
      <c r="N57" s="6" t="str">
        <f>IF($E57="","",IF($E57="not included",J57,VLOOKUP($E57,'DID-list_Part A'!$A$8:$L$245,11,FALSE)))</f>
        <v/>
      </c>
      <c r="O57" s="6" t="str">
        <f>IF($E57="","",IF($E57="not included",K57,VLOOKUP($E57,'DID-list_Part A'!$A$8:$L$245,12,FALSE)))</f>
        <v/>
      </c>
      <c r="P57" s="245"/>
      <c r="Q57" s="113" t="str">
        <f t="shared" si="0"/>
        <v>N</v>
      </c>
    </row>
    <row r="58" spans="1:17">
      <c r="A58" s="5">
        <v>49</v>
      </c>
      <c r="B58" s="6" t="str">
        <f>IF('Ingoing substances'!B58="","",'Ingoing substances'!B58)</f>
        <v/>
      </c>
      <c r="C58" s="6" t="str">
        <f>IF('Ingoing substances'!C58="","",'Ingoing substances'!C58)</f>
        <v/>
      </c>
      <c r="D58" s="6" t="str">
        <f>IF('Ingoing substances'!G58="","",'Ingoing substances'!G58)</f>
        <v/>
      </c>
      <c r="E58" s="9"/>
      <c r="F58" s="6" t="str">
        <f>IF(E58="","",VLOOKUP($E58,'DID-list_Part A'!$A$8:$L$245,3,FALSE))</f>
        <v/>
      </c>
      <c r="G58" s="6">
        <f>'Ingoing substances'!M58</f>
        <v>0</v>
      </c>
      <c r="H58" s="8"/>
      <c r="I58" s="8"/>
      <c r="J58" s="8"/>
      <c r="K58" s="8"/>
      <c r="L58" s="6" t="str">
        <f>IF($E58="","",IF($E58="not included",H58,VLOOKUP($E58,'DID-list_Part A'!$A$8:$L$245,10,FALSE)))</f>
        <v/>
      </c>
      <c r="M58" s="6" t="str">
        <f>IF($E58="","",IF($E58="not included",I58,VLOOKUP($E58,'DID-list_Part A'!$A$8:$L$245,9,FALSE)))</f>
        <v/>
      </c>
      <c r="N58" s="6" t="str">
        <f>IF($E58="","",IF($E58="not included",J58,VLOOKUP($E58,'DID-list_Part A'!$A$8:$L$245,11,FALSE)))</f>
        <v/>
      </c>
      <c r="O58" s="6" t="str">
        <f>IF($E58="","",IF($E58="not included",K58,VLOOKUP($E58,'DID-list_Part A'!$A$8:$L$245,12,FALSE)))</f>
        <v/>
      </c>
      <c r="P58" s="245"/>
      <c r="Q58" s="113" t="str">
        <f t="shared" si="0"/>
        <v>N</v>
      </c>
    </row>
    <row r="59" spans="1:17">
      <c r="A59" s="5">
        <v>50</v>
      </c>
      <c r="B59" s="6" t="str">
        <f>IF('Ingoing substances'!B59="","",'Ingoing substances'!B59)</f>
        <v/>
      </c>
      <c r="C59" s="6" t="str">
        <f>IF('Ingoing substances'!C59="","",'Ingoing substances'!C59)</f>
        <v/>
      </c>
      <c r="D59" s="6" t="str">
        <f>IF('Ingoing substances'!G59="","",'Ingoing substances'!G59)</f>
        <v/>
      </c>
      <c r="E59" s="9"/>
      <c r="F59" s="6" t="str">
        <f>IF(E59="","",VLOOKUP($E59,'DID-list_Part A'!$A$8:$L$245,3,FALSE))</f>
        <v/>
      </c>
      <c r="G59" s="6">
        <f>'Ingoing substances'!M59</f>
        <v>0</v>
      </c>
      <c r="H59" s="8"/>
      <c r="I59" s="8"/>
      <c r="J59" s="8"/>
      <c r="K59" s="8"/>
      <c r="L59" s="6" t="str">
        <f>IF($E59="","",IF($E59="not included",H59,VLOOKUP($E59,'DID-list_Part A'!$A$8:$L$245,10,FALSE)))</f>
        <v/>
      </c>
      <c r="M59" s="6" t="str">
        <f>IF($E59="","",IF($E59="not included",I59,VLOOKUP($E59,'DID-list_Part A'!$A$8:$L$245,9,FALSE)))</f>
        <v/>
      </c>
      <c r="N59" s="6" t="str">
        <f>IF($E59="","",IF($E59="not included",J59,VLOOKUP($E59,'DID-list_Part A'!$A$8:$L$245,11,FALSE)))</f>
        <v/>
      </c>
      <c r="O59" s="6" t="str">
        <f>IF($E59="","",IF($E59="not included",K59,VLOOKUP($E59,'DID-list_Part A'!$A$8:$L$245,12,FALSE)))</f>
        <v/>
      </c>
      <c r="P59" s="245"/>
      <c r="Q59" s="113" t="str">
        <f t="shared" si="0"/>
        <v>N</v>
      </c>
    </row>
    <row r="61" spans="1:17">
      <c r="B61" s="1" t="s">
        <v>31</v>
      </c>
    </row>
    <row r="62" spans="1:17">
      <c r="B62" s="304"/>
      <c r="C62" s="305"/>
      <c r="D62" s="305"/>
      <c r="E62" s="305"/>
      <c r="F62" s="305"/>
      <c r="G62" s="305"/>
      <c r="H62" s="306"/>
    </row>
    <row r="63" spans="1:17">
      <c r="B63" s="307"/>
      <c r="C63" s="308"/>
      <c r="D63" s="308"/>
      <c r="E63" s="308"/>
      <c r="F63" s="308"/>
      <c r="G63" s="308"/>
      <c r="H63" s="309"/>
    </row>
    <row r="64" spans="1:17">
      <c r="B64" s="307"/>
      <c r="C64" s="308"/>
      <c r="D64" s="308"/>
      <c r="E64" s="308"/>
      <c r="F64" s="308"/>
      <c r="G64" s="308"/>
      <c r="H64" s="309"/>
    </row>
    <row r="65" spans="2:8">
      <c r="B65" s="310"/>
      <c r="C65" s="311"/>
      <c r="D65" s="311"/>
      <c r="E65" s="311"/>
      <c r="F65" s="311"/>
      <c r="G65" s="311"/>
      <c r="H65" s="312"/>
    </row>
  </sheetData>
  <sheetProtection algorithmName="SHA-512" hashValue="LqoZet0V2FcNNaMsTz4eQDOajDCEfk4moVs3i+TF5fexYe89UW2WQZAy75GkjjWXeQW9v7DfeahHBSzrNiPf0A==" saltValue="GdVebgGSc4yYRh5+NpuBNQ==" spinCount="100000" sheet="1" selectLockedCells="1"/>
  <autoFilter ref="B8:B59" xr:uid="{00000000-0009-0000-0000-000003000000}"/>
  <mergeCells count="13">
    <mergeCell ref="L8:L9"/>
    <mergeCell ref="M8:M9"/>
    <mergeCell ref="N8:N9"/>
    <mergeCell ref="O8:O9"/>
    <mergeCell ref="H8:K8"/>
    <mergeCell ref="B62:H65"/>
    <mergeCell ref="B1:D1"/>
    <mergeCell ref="C2:D2"/>
    <mergeCell ref="C3:D3"/>
    <mergeCell ref="C4:D4"/>
    <mergeCell ref="D8:D9"/>
    <mergeCell ref="E8:E9"/>
    <mergeCell ref="F8:F9"/>
  </mergeCells>
  <conditionalFormatting sqref="H11:K59">
    <cfRule type="expression" dxfId="127" priority="3">
      <formula>$E11="not included"</formula>
    </cfRule>
  </conditionalFormatting>
  <conditionalFormatting sqref="P11:P59">
    <cfRule type="expression" dxfId="126" priority="2">
      <formula>O11="O"</formula>
    </cfRule>
  </conditionalFormatting>
  <conditionalFormatting sqref="E3">
    <cfRule type="expression" dxfId="125" priority="1">
      <formula>$C$3="Leave-on product"</formula>
    </cfRule>
  </conditionalFormatting>
  <dataValidations count="3">
    <dataValidation type="list" allowBlank="1" showInputMessage="1" showErrorMessage="1" sqref="J11:J59" xr:uid="{00000000-0002-0000-0300-000000000000}">
      <formula1>"R,I,P,O,NA"</formula1>
    </dataValidation>
    <dataValidation type="list" allowBlank="1" showInputMessage="1" showErrorMessage="1" sqref="K11:K59" xr:uid="{00000000-0002-0000-0300-000001000000}">
      <formula1>"Y,N,O,NA"</formula1>
    </dataValidation>
    <dataValidation type="list" allowBlank="1" showInputMessage="1" showErrorMessage="1" sqref="P11:P59" xr:uid="{00000000-0002-0000-0300-000002000000}">
      <formula1>"1. low adsorption (A&lt;25%), 2. high desorption (D&gt;75%), 3. non-bioaccumulating, Test present,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3000000}">
          <x14:formula1>
            <xm:f>Hoja2!$B$48:$B$51</xm:f>
          </x14:formula1>
          <xm:sqref>H11:H59</xm:sqref>
        </x14:dataValidation>
        <x14:dataValidation type="list" allowBlank="1" showInputMessage="1" showErrorMessage="1" xr:uid="{00000000-0002-0000-0300-000004000000}">
          <x14:formula1>
            <xm:f>'DID-list_Part A'!$A$8:$A$245</xm:f>
          </x14:formula1>
          <xm:sqref>E11:E59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outlinePr showOutlineSymbols="0"/>
  </sheetPr>
  <dimension ref="A1:Q65"/>
  <sheetViews>
    <sheetView showZeros="0" showOutlineSymbols="0" zoomScale="110" zoomScaleNormal="110" workbookViewId="0">
      <selection activeCell="E49" sqref="E49"/>
    </sheetView>
  </sheetViews>
  <sheetFormatPr defaultColWidth="11.44140625" defaultRowHeight="13.2"/>
  <cols>
    <col min="1" max="1" width="5.44140625" style="1" customWidth="1"/>
    <col min="2" max="2" width="30.6640625" style="1" customWidth="1"/>
    <col min="3" max="3" width="20.33203125" style="1" bestFit="1" customWidth="1"/>
    <col min="4" max="4" width="20.6640625" style="1" customWidth="1"/>
    <col min="5" max="5" width="11.6640625" style="1" customWidth="1"/>
    <col min="6" max="6" width="35" style="1" bestFit="1" customWidth="1"/>
    <col min="7" max="7" width="17" style="1" customWidth="1"/>
    <col min="8" max="10" width="9.5546875" style="1" customWidth="1"/>
    <col min="11" max="13" width="9.109375" style="1" customWidth="1"/>
    <col min="14" max="17" width="15" style="1" customWidth="1"/>
    <col min="18" max="16384" width="11.44140625" style="1"/>
  </cols>
  <sheetData>
    <row r="1" spans="1:17">
      <c r="B1" s="314" t="s">
        <v>42</v>
      </c>
      <c r="C1" s="315"/>
      <c r="D1" s="315"/>
      <c r="E1" s="104"/>
    </row>
    <row r="2" spans="1:17">
      <c r="B2" s="102" t="s">
        <v>26</v>
      </c>
      <c r="C2" s="274" t="str">
        <f>'Product formulation'!C2</f>
        <v/>
      </c>
      <c r="D2" s="274"/>
      <c r="E2" s="24"/>
    </row>
    <row r="3" spans="1:17">
      <c r="B3" s="102" t="s">
        <v>4</v>
      </c>
      <c r="C3" s="274" t="str">
        <f>'Product formulation'!C3</f>
        <v/>
      </c>
      <c r="D3" s="274"/>
      <c r="E3" s="24" t="str">
        <f>IF(C3="Rinse-off product","You shall complete the Excel file Rinse-off - DID","Results are presented in the Excel file Results 3")</f>
        <v>Results are presented in the Excel file Results 3</v>
      </c>
    </row>
    <row r="4" spans="1:17">
      <c r="B4" s="103" t="s">
        <v>27</v>
      </c>
      <c r="C4" s="303" t="str">
        <f>'Product formulation'!C4</f>
        <v/>
      </c>
      <c r="D4" s="303"/>
      <c r="E4" s="24"/>
    </row>
    <row r="6" spans="1:17" s="193" customFormat="1" ht="15.6">
      <c r="A6" s="193" t="s">
        <v>57</v>
      </c>
    </row>
    <row r="8" spans="1:17" s="2" customFormat="1" ht="25.5" customHeight="1">
      <c r="A8" s="4"/>
      <c r="B8" s="189" t="s">
        <v>43</v>
      </c>
      <c r="C8" s="189" t="s">
        <v>44</v>
      </c>
      <c r="D8" s="317" t="s">
        <v>48</v>
      </c>
      <c r="E8" s="317" t="s">
        <v>58</v>
      </c>
      <c r="F8" s="317" t="s">
        <v>59</v>
      </c>
      <c r="G8" s="189" t="s">
        <v>49</v>
      </c>
      <c r="H8" s="324" t="s">
        <v>60</v>
      </c>
      <c r="I8" s="325"/>
      <c r="J8" s="325"/>
      <c r="K8" s="322" t="s">
        <v>66</v>
      </c>
      <c r="L8" s="322" t="s">
        <v>67</v>
      </c>
      <c r="M8" s="322" t="s">
        <v>63</v>
      </c>
      <c r="N8" s="322" t="s">
        <v>68</v>
      </c>
      <c r="O8" s="322" t="s">
        <v>52</v>
      </c>
      <c r="P8" s="322" t="s">
        <v>54</v>
      </c>
      <c r="Q8" s="242" t="s">
        <v>69</v>
      </c>
    </row>
    <row r="9" spans="1:17" s="2" customFormat="1" ht="26.4">
      <c r="A9" s="4"/>
      <c r="B9" s="240" t="s">
        <v>0</v>
      </c>
      <c r="C9" s="194" t="s">
        <v>45</v>
      </c>
      <c r="D9" s="318"/>
      <c r="E9" s="318"/>
      <c r="F9" s="318"/>
      <c r="G9" s="194" t="s">
        <v>37</v>
      </c>
      <c r="H9" s="194" t="s">
        <v>66</v>
      </c>
      <c r="I9" s="194" t="s">
        <v>67</v>
      </c>
      <c r="J9" s="194" t="s">
        <v>63</v>
      </c>
      <c r="K9" s="323"/>
      <c r="L9" s="323"/>
      <c r="M9" s="323"/>
      <c r="N9" s="323"/>
      <c r="O9" s="323"/>
      <c r="P9" s="323"/>
      <c r="Q9" s="223" t="s">
        <v>70</v>
      </c>
    </row>
    <row r="10" spans="1:17">
      <c r="A10" s="5">
        <v>1</v>
      </c>
      <c r="B10" s="15" t="s">
        <v>29</v>
      </c>
      <c r="C10" s="15"/>
      <c r="D10" s="15"/>
      <c r="E10" s="15"/>
      <c r="F10" s="15"/>
      <c r="G10" s="6">
        <f>'Ingoing substances'!M10</f>
        <v>0</v>
      </c>
      <c r="H10" s="6"/>
      <c r="I10" s="6"/>
      <c r="J10" s="6"/>
      <c r="K10" s="15"/>
      <c r="L10" s="15"/>
      <c r="M10" s="15"/>
      <c r="N10" s="15"/>
      <c r="O10" s="15"/>
      <c r="P10" s="6"/>
      <c r="Q10" s="6"/>
    </row>
    <row r="11" spans="1:17">
      <c r="A11" s="5">
        <v>2</v>
      </c>
      <c r="B11" s="6" t="str">
        <f>IF('Ingoing substances'!B11="","",IF('Ingoing substances'!V11="No","",'Ingoing substances'!B11))</f>
        <v/>
      </c>
      <c r="C11" s="6" t="str">
        <f>IF('Ingoing substances'!C11="","",IF('Ingoing substances'!V11="No","",'Ingoing substances'!C11))</f>
        <v/>
      </c>
      <c r="D11" s="6" t="str">
        <f>IF('Ingoing substances'!G11="","",IF('Ingoing substances'!V11="No","",'Ingoing substances'!G11))</f>
        <v/>
      </c>
      <c r="E11" s="9"/>
      <c r="F11" s="6" t="str">
        <f>IF(E11="","",VLOOKUP($E11,'DID-list_Part A'!$A$8:$L$245,3,FALSE))</f>
        <v/>
      </c>
      <c r="G11" s="6">
        <f>IF('Ingoing substances'!V11="No","",'Ingoing substances'!M11)</f>
        <v>0</v>
      </c>
      <c r="H11" s="8"/>
      <c r="I11" s="8"/>
      <c r="J11" s="8"/>
      <c r="K11" s="6" t="str">
        <f>IF($E11="","",IF($E11="not included",H11,VLOOKUP($E11,'DID-list_Part A'!$A$8:$L$245,4,FALSE)))</f>
        <v/>
      </c>
      <c r="L11" s="6" t="str">
        <f>IF($E11="","",IF($E11="not included",I11,VLOOKUP($E11,'DID-list_Part A'!$A$8:$L$245,7,FALSE)))</f>
        <v/>
      </c>
      <c r="M11" s="6" t="str">
        <f>IF($E11="","",IF($E11="not included",J11,VLOOKUP($E11,'DID-list_Part A'!$A$8:$L$245,11,FALSE)))</f>
        <v/>
      </c>
      <c r="N11" s="9"/>
      <c r="O11" s="7"/>
      <c r="P11" s="8"/>
      <c r="Q11" s="8"/>
    </row>
    <row r="12" spans="1:17">
      <c r="A12" s="5">
        <v>3</v>
      </c>
      <c r="B12" s="6" t="str">
        <f>IF('Ingoing substances'!B12="","",IF('Ingoing substances'!V12="No","",'Ingoing substances'!B12))</f>
        <v/>
      </c>
      <c r="C12" s="6" t="str">
        <f>IF('Ingoing substances'!C12="","",IF('Ingoing substances'!V12="No","",'Ingoing substances'!C12))</f>
        <v/>
      </c>
      <c r="D12" s="6" t="str">
        <f>IF('Ingoing substances'!G12="","",IF('Ingoing substances'!V12="No","",'Ingoing substances'!G12))</f>
        <v/>
      </c>
      <c r="E12" s="9"/>
      <c r="F12" s="6" t="str">
        <f>IF(E12="","",VLOOKUP($E12,'DID-list_Part A'!$A$8:$L$245,3,FALSE))</f>
        <v/>
      </c>
      <c r="G12" s="6">
        <f>IF('Ingoing substances'!V12="No","",'Ingoing substances'!M12)</f>
        <v>0</v>
      </c>
      <c r="H12" s="8"/>
      <c r="I12" s="8"/>
      <c r="J12" s="8"/>
      <c r="K12" s="6" t="str">
        <f>IF($E12="","",IF($E12="not included",H12,VLOOKUP($E12,'DID-list_Part A'!$A$8:$L$245,4,FALSE)))</f>
        <v/>
      </c>
      <c r="L12" s="6" t="str">
        <f>IF($E12="","",IF($E12="not included",I12,VLOOKUP($E12,'DID-list_Part A'!$A$8:$L$245,7,FALSE)))</f>
        <v/>
      </c>
      <c r="M12" s="6" t="str">
        <f>IF($E12="","",IF($E12="not included",J12,VLOOKUP($E12,'DID-list_Part A'!$A$8:$L$245,11,FALSE)))</f>
        <v/>
      </c>
      <c r="N12" s="9"/>
      <c r="O12" s="7"/>
      <c r="P12" s="8"/>
      <c r="Q12" s="8"/>
    </row>
    <row r="13" spans="1:17">
      <c r="A13" s="5">
        <v>4</v>
      </c>
      <c r="B13" s="6" t="str">
        <f>IF('Ingoing substances'!B13="","",IF('Ingoing substances'!V13="No","",'Ingoing substances'!B13))</f>
        <v/>
      </c>
      <c r="C13" s="6" t="str">
        <f>IF('Ingoing substances'!C13="","",IF('Ingoing substances'!V13="No","",'Ingoing substances'!C13))</f>
        <v/>
      </c>
      <c r="D13" s="6" t="str">
        <f>IF('Ingoing substances'!G13="","",IF('Ingoing substances'!V13="No","",'Ingoing substances'!G13))</f>
        <v/>
      </c>
      <c r="E13" s="9"/>
      <c r="F13" s="6" t="str">
        <f>IF(E13="","",VLOOKUP($E13,'DID-list_Part A'!$A$8:$L$245,3,FALSE))</f>
        <v/>
      </c>
      <c r="G13" s="6">
        <f>IF('Ingoing substances'!V13="No","",'Ingoing substances'!M13)</f>
        <v>0</v>
      </c>
      <c r="H13" s="8"/>
      <c r="I13" s="8"/>
      <c r="J13" s="8"/>
      <c r="K13" s="6" t="str">
        <f>IF($E13="","",IF($E13="not included",H13,VLOOKUP($E13,'DID-list_Part A'!$A$8:$L$245,4,FALSE)))</f>
        <v/>
      </c>
      <c r="L13" s="6" t="str">
        <f>IF($E13="","",IF($E13="not included",I13,VLOOKUP($E13,'DID-list_Part A'!$A$8:$L$245,7,FALSE)))</f>
        <v/>
      </c>
      <c r="M13" s="6" t="str">
        <f>IF($E13="","",IF($E13="not included",J13,VLOOKUP($E13,'DID-list_Part A'!$A$8:$L$245,11,FALSE)))</f>
        <v/>
      </c>
      <c r="N13" s="9"/>
      <c r="O13" s="7"/>
      <c r="P13" s="8"/>
      <c r="Q13" s="8"/>
    </row>
    <row r="14" spans="1:17">
      <c r="A14" s="5">
        <v>5</v>
      </c>
      <c r="B14" s="6" t="str">
        <f>IF('Ingoing substances'!B14="","",IF('Ingoing substances'!V14="No","",'Ingoing substances'!B14))</f>
        <v/>
      </c>
      <c r="C14" s="6" t="str">
        <f>IF('Ingoing substances'!C14="","",IF('Ingoing substances'!V14="No","",'Ingoing substances'!C14))</f>
        <v/>
      </c>
      <c r="D14" s="6" t="str">
        <f>IF('Ingoing substances'!G14="","",IF('Ingoing substances'!V14="No","",'Ingoing substances'!G14))</f>
        <v/>
      </c>
      <c r="E14" s="9"/>
      <c r="F14" s="6" t="str">
        <f>IF(E14="","",VLOOKUP($E14,'DID-list_Part A'!$A$8:$L$245,3,FALSE))</f>
        <v/>
      </c>
      <c r="G14" s="6">
        <f>IF('Ingoing substances'!V14="No","",'Ingoing substances'!M14)</f>
        <v>0</v>
      </c>
      <c r="H14" s="8"/>
      <c r="I14" s="8"/>
      <c r="J14" s="8"/>
      <c r="K14" s="6" t="str">
        <f>IF($E14="","",IF($E14="not included",H14,VLOOKUP($E14,'DID-list_Part A'!$A$8:$L$245,4,FALSE)))</f>
        <v/>
      </c>
      <c r="L14" s="6" t="str">
        <f>IF($E14="","",IF($E14="not included",I14,VLOOKUP($E14,'DID-list_Part A'!$A$8:$L$245,7,FALSE)))</f>
        <v/>
      </c>
      <c r="M14" s="6" t="str">
        <f>IF($E14="","",IF($E14="not included",J14,VLOOKUP($E14,'DID-list_Part A'!$A$8:$L$245,11,FALSE)))</f>
        <v/>
      </c>
      <c r="N14" s="9"/>
      <c r="O14" s="7"/>
      <c r="P14" s="8"/>
      <c r="Q14" s="8"/>
    </row>
    <row r="15" spans="1:17">
      <c r="A15" s="5">
        <v>6</v>
      </c>
      <c r="B15" s="6" t="str">
        <f>IF('Ingoing substances'!B15="","",IF('Ingoing substances'!V15="No","",'Ingoing substances'!B15))</f>
        <v/>
      </c>
      <c r="C15" s="6" t="str">
        <f>IF('Ingoing substances'!C15="","",IF('Ingoing substances'!V15="No","",'Ingoing substances'!C15))</f>
        <v/>
      </c>
      <c r="D15" s="6" t="str">
        <f>IF('Ingoing substances'!G15="","",IF('Ingoing substances'!V15="No","",'Ingoing substances'!G15))</f>
        <v/>
      </c>
      <c r="E15" s="9"/>
      <c r="F15" s="6" t="str">
        <f>IF(E15="","",VLOOKUP($E15,'DID-list_Part A'!$A$8:$L$245,3,FALSE))</f>
        <v/>
      </c>
      <c r="G15" s="6">
        <f>IF('Ingoing substances'!V15="No","",'Ingoing substances'!M15)</f>
        <v>0</v>
      </c>
      <c r="H15" s="8"/>
      <c r="I15" s="8"/>
      <c r="J15" s="8"/>
      <c r="K15" s="6" t="str">
        <f>IF($E15="","",IF($E15="not included",H15,VLOOKUP($E15,'DID-list_Part A'!$A$8:$L$245,4,FALSE)))</f>
        <v/>
      </c>
      <c r="L15" s="6" t="str">
        <f>IF($E15="","",IF($E15="not included",I15,VLOOKUP($E15,'DID-list_Part A'!$A$8:$L$245,7,FALSE)))</f>
        <v/>
      </c>
      <c r="M15" s="6" t="str">
        <f>IF($E15="","",IF($E15="not included",J15,VLOOKUP($E15,'DID-list_Part A'!$A$8:$L$245,11,FALSE)))</f>
        <v/>
      </c>
      <c r="N15" s="9"/>
      <c r="O15" s="7"/>
      <c r="P15" s="8"/>
      <c r="Q15" s="8"/>
    </row>
    <row r="16" spans="1:17">
      <c r="A16" s="5">
        <v>7</v>
      </c>
      <c r="B16" s="6" t="str">
        <f>IF('Ingoing substances'!B16="","",IF('Ingoing substances'!V16="No","",'Ingoing substances'!B16))</f>
        <v/>
      </c>
      <c r="C16" s="6" t="str">
        <f>IF('Ingoing substances'!C16="","",IF('Ingoing substances'!V16="No","",'Ingoing substances'!C16))</f>
        <v/>
      </c>
      <c r="D16" s="6" t="str">
        <f>IF('Ingoing substances'!G16="","",IF('Ingoing substances'!V16="No","",'Ingoing substances'!G16))</f>
        <v/>
      </c>
      <c r="E16" s="9"/>
      <c r="F16" s="6" t="str">
        <f>IF(E16="","",VLOOKUP($E16,'DID-list_Part A'!$A$8:$L$245,3,FALSE))</f>
        <v/>
      </c>
      <c r="G16" s="6">
        <f>IF('Ingoing substances'!V16="No","",'Ingoing substances'!M16)</f>
        <v>0</v>
      </c>
      <c r="H16" s="8"/>
      <c r="I16" s="8"/>
      <c r="J16" s="8"/>
      <c r="K16" s="6" t="str">
        <f>IF($E16="","",IF($E16="not included",H16,VLOOKUP($E16,'DID-list_Part A'!$A$8:$L$245,4,FALSE)))</f>
        <v/>
      </c>
      <c r="L16" s="6" t="str">
        <f>IF($E16="","",IF($E16="not included",I16,VLOOKUP($E16,'DID-list_Part A'!$A$8:$L$245,7,FALSE)))</f>
        <v/>
      </c>
      <c r="M16" s="6" t="str">
        <f>IF($E16="","",IF($E16="not included",J16,VLOOKUP($E16,'DID-list_Part A'!$A$8:$L$245,11,FALSE)))</f>
        <v/>
      </c>
      <c r="N16" s="9"/>
      <c r="O16" s="7"/>
      <c r="P16" s="8"/>
      <c r="Q16" s="8"/>
    </row>
    <row r="17" spans="1:17">
      <c r="A17" s="5">
        <v>8</v>
      </c>
      <c r="B17" s="6" t="str">
        <f>IF('Ingoing substances'!B17="","",IF('Ingoing substances'!V17="No","",'Ingoing substances'!B17))</f>
        <v/>
      </c>
      <c r="C17" s="6" t="str">
        <f>IF('Ingoing substances'!C17="","",IF('Ingoing substances'!V17="No","",'Ingoing substances'!C17))</f>
        <v/>
      </c>
      <c r="D17" s="6" t="str">
        <f>IF('Ingoing substances'!G17="","",IF('Ingoing substances'!V17="No","",'Ingoing substances'!G17))</f>
        <v/>
      </c>
      <c r="E17" s="9"/>
      <c r="F17" s="6" t="str">
        <f>IF(E17="","",VLOOKUP($E17,'DID-list_Part A'!$A$8:$L$245,3,FALSE))</f>
        <v/>
      </c>
      <c r="G17" s="6">
        <f>IF('Ingoing substances'!V17="No","",'Ingoing substances'!M17)</f>
        <v>0</v>
      </c>
      <c r="H17" s="8"/>
      <c r="I17" s="8"/>
      <c r="J17" s="8"/>
      <c r="K17" s="6" t="str">
        <f>IF($E17="","",IF($E17="not included",H17,VLOOKUP($E17,'DID-list_Part A'!$A$8:$L$245,4,FALSE)))</f>
        <v/>
      </c>
      <c r="L17" s="6" t="str">
        <f>IF($E17="","",IF($E17="not included",I17,VLOOKUP($E17,'DID-list_Part A'!$A$8:$L$245,7,FALSE)))</f>
        <v/>
      </c>
      <c r="M17" s="6" t="str">
        <f>IF($E17="","",IF($E17="not included",J17,VLOOKUP($E17,'DID-list_Part A'!$A$8:$L$245,11,FALSE)))</f>
        <v/>
      </c>
      <c r="N17" s="9"/>
      <c r="O17" s="7"/>
      <c r="P17" s="8"/>
      <c r="Q17" s="8"/>
    </row>
    <row r="18" spans="1:17">
      <c r="A18" s="5">
        <v>9</v>
      </c>
      <c r="B18" s="6" t="str">
        <f>IF('Ingoing substances'!B18="","",IF('Ingoing substances'!V18="No","",'Ingoing substances'!B18))</f>
        <v/>
      </c>
      <c r="C18" s="6" t="str">
        <f>IF('Ingoing substances'!C18="","",IF('Ingoing substances'!V18="No","",'Ingoing substances'!C18))</f>
        <v/>
      </c>
      <c r="D18" s="6" t="str">
        <f>IF('Ingoing substances'!G18="","",IF('Ingoing substances'!V18="No","",'Ingoing substances'!G18))</f>
        <v/>
      </c>
      <c r="E18" s="9"/>
      <c r="F18" s="6" t="str">
        <f>IF(E18="","",VLOOKUP($E18,'DID-list_Part A'!$A$8:$L$245,3,FALSE))</f>
        <v/>
      </c>
      <c r="G18" s="6">
        <f>IF('Ingoing substances'!V18="No","",'Ingoing substances'!M18)</f>
        <v>0</v>
      </c>
      <c r="H18" s="8"/>
      <c r="I18" s="8"/>
      <c r="J18" s="8"/>
      <c r="K18" s="6" t="str">
        <f>IF($E18="","",IF($E18="not included",H18,VLOOKUP($E18,'DID-list_Part A'!$A$8:$L$245,4,FALSE)))</f>
        <v/>
      </c>
      <c r="L18" s="6" t="str">
        <f>IF($E18="","",IF($E18="not included",I18,VLOOKUP($E18,'DID-list_Part A'!$A$8:$L$245,7,FALSE)))</f>
        <v/>
      </c>
      <c r="M18" s="6" t="str">
        <f>IF($E18="","",IF($E18="not included",J18,VLOOKUP($E18,'DID-list_Part A'!$A$8:$L$245,11,FALSE)))</f>
        <v/>
      </c>
      <c r="N18" s="9"/>
      <c r="O18" s="7"/>
      <c r="P18" s="8"/>
      <c r="Q18" s="8"/>
    </row>
    <row r="19" spans="1:17">
      <c r="A19" s="5">
        <v>10</v>
      </c>
      <c r="B19" s="6" t="str">
        <f>IF('Ingoing substances'!B19="","",IF('Ingoing substances'!V19="No","",'Ingoing substances'!B19))</f>
        <v/>
      </c>
      <c r="C19" s="6" t="str">
        <f>IF('Ingoing substances'!C19="","",IF('Ingoing substances'!V19="No","",'Ingoing substances'!C19))</f>
        <v/>
      </c>
      <c r="D19" s="6" t="str">
        <f>IF('Ingoing substances'!G19="","",IF('Ingoing substances'!V19="No","",'Ingoing substances'!G19))</f>
        <v/>
      </c>
      <c r="E19" s="9"/>
      <c r="F19" s="6" t="str">
        <f>IF(E19="","",VLOOKUP($E19,'DID-list_Part A'!$A$8:$L$245,3,FALSE))</f>
        <v/>
      </c>
      <c r="G19" s="6">
        <f>IF('Ingoing substances'!V19="No","",'Ingoing substances'!M19)</f>
        <v>0</v>
      </c>
      <c r="H19" s="8"/>
      <c r="I19" s="8"/>
      <c r="J19" s="8"/>
      <c r="K19" s="6" t="str">
        <f>IF($E19="","",IF($E19="not included",H19,VLOOKUP($E19,'DID-list_Part A'!$A$8:$L$245,4,FALSE)))</f>
        <v/>
      </c>
      <c r="L19" s="6" t="str">
        <f>IF($E19="","",IF($E19="not included",I19,VLOOKUP($E19,'DID-list_Part A'!$A$8:$L$245,7,FALSE)))</f>
        <v/>
      </c>
      <c r="M19" s="6" t="str">
        <f>IF($E19="","",IF($E19="not included",J19,VLOOKUP($E19,'DID-list_Part A'!$A$8:$L$245,11,FALSE)))</f>
        <v/>
      </c>
      <c r="N19" s="9"/>
      <c r="O19" s="7"/>
      <c r="P19" s="8"/>
      <c r="Q19" s="8"/>
    </row>
    <row r="20" spans="1:17">
      <c r="A20" s="5">
        <v>11</v>
      </c>
      <c r="B20" s="6" t="str">
        <f>IF('Ingoing substances'!B20="","",IF('Ingoing substances'!V20="No","",'Ingoing substances'!B20))</f>
        <v/>
      </c>
      <c r="C20" s="6" t="str">
        <f>IF('Ingoing substances'!C20="","",IF('Ingoing substances'!V20="No","",'Ingoing substances'!C20))</f>
        <v/>
      </c>
      <c r="D20" s="6" t="str">
        <f>IF('Ingoing substances'!G20="","",IF('Ingoing substances'!V20="No","",'Ingoing substances'!G20))</f>
        <v/>
      </c>
      <c r="E20" s="9"/>
      <c r="F20" s="6" t="str">
        <f>IF(E20="","",VLOOKUP($E20,'DID-list_Part A'!$A$8:$L$245,3,FALSE))</f>
        <v/>
      </c>
      <c r="G20" s="6">
        <f>IF('Ingoing substances'!V20="No","",'Ingoing substances'!M20)</f>
        <v>0</v>
      </c>
      <c r="H20" s="8"/>
      <c r="I20" s="8"/>
      <c r="J20" s="8"/>
      <c r="K20" s="6" t="str">
        <f>IF($E20="","",IF($E20="not included",H20,VLOOKUP($E20,'DID-list_Part A'!$A$8:$L$245,4,FALSE)))</f>
        <v/>
      </c>
      <c r="L20" s="6" t="str">
        <f>IF($E20="","",IF($E20="not included",I20,VLOOKUP($E20,'DID-list_Part A'!$A$8:$L$245,7,FALSE)))</f>
        <v/>
      </c>
      <c r="M20" s="6" t="str">
        <f>IF($E20="","",IF($E20="not included",J20,VLOOKUP($E20,'DID-list_Part A'!$A$8:$L$245,11,FALSE)))</f>
        <v/>
      </c>
      <c r="N20" s="9"/>
      <c r="O20" s="7"/>
      <c r="P20" s="8"/>
      <c r="Q20" s="8"/>
    </row>
    <row r="21" spans="1:17">
      <c r="A21" s="5">
        <v>12</v>
      </c>
      <c r="B21" s="6" t="str">
        <f>IF('Ingoing substances'!B21="","",IF('Ingoing substances'!V21="No","",'Ingoing substances'!B21))</f>
        <v/>
      </c>
      <c r="C21" s="6" t="str">
        <f>IF('Ingoing substances'!C21="","",IF('Ingoing substances'!V21="No","",'Ingoing substances'!C21))</f>
        <v/>
      </c>
      <c r="D21" s="6" t="str">
        <f>IF('Ingoing substances'!G21="","",IF('Ingoing substances'!V21="No","",'Ingoing substances'!G21))</f>
        <v/>
      </c>
      <c r="E21" s="9"/>
      <c r="F21" s="6" t="str">
        <f>IF(E21="","",VLOOKUP($E21,'DID-list_Part A'!$A$8:$L$245,3,FALSE))</f>
        <v/>
      </c>
      <c r="G21" s="6">
        <f>IF('Ingoing substances'!V21="No","",'Ingoing substances'!M21)</f>
        <v>0</v>
      </c>
      <c r="H21" s="8"/>
      <c r="I21" s="8"/>
      <c r="J21" s="8"/>
      <c r="K21" s="6" t="str">
        <f>IF($E21="","",IF($E21="not included",H21,VLOOKUP($E21,'DID-list_Part A'!$A$8:$L$245,4,FALSE)))</f>
        <v/>
      </c>
      <c r="L21" s="6" t="str">
        <f>IF($E21="","",IF($E21="not included",I21,VLOOKUP($E21,'DID-list_Part A'!$A$8:$L$245,7,FALSE)))</f>
        <v/>
      </c>
      <c r="M21" s="6" t="str">
        <f>IF($E21="","",IF($E21="not included",J21,VLOOKUP($E21,'DID-list_Part A'!$A$8:$L$245,11,FALSE)))</f>
        <v/>
      </c>
      <c r="N21" s="9"/>
      <c r="O21" s="7"/>
      <c r="P21" s="8"/>
      <c r="Q21" s="8"/>
    </row>
    <row r="22" spans="1:17">
      <c r="A22" s="5">
        <v>13</v>
      </c>
      <c r="B22" s="6" t="str">
        <f>IF('Ingoing substances'!B22="","",IF('Ingoing substances'!V22="No","",'Ingoing substances'!B22))</f>
        <v/>
      </c>
      <c r="C22" s="6" t="str">
        <f>IF('Ingoing substances'!C22="","",IF('Ingoing substances'!V22="No","",'Ingoing substances'!C22))</f>
        <v/>
      </c>
      <c r="D22" s="6" t="str">
        <f>IF('Ingoing substances'!G22="","",IF('Ingoing substances'!V22="No","",'Ingoing substances'!G22))</f>
        <v/>
      </c>
      <c r="E22" s="9"/>
      <c r="F22" s="6" t="str">
        <f>IF(E22="","",VLOOKUP($E22,'DID-list_Part A'!$A$8:$L$245,3,FALSE))</f>
        <v/>
      </c>
      <c r="G22" s="6">
        <f>IF('Ingoing substances'!V22="No","",'Ingoing substances'!M22)</f>
        <v>0</v>
      </c>
      <c r="H22" s="8"/>
      <c r="I22" s="8"/>
      <c r="J22" s="8"/>
      <c r="K22" s="6" t="str">
        <f>IF($E22="","",IF($E22="not included",H22,VLOOKUP($E22,'DID-list_Part A'!$A$8:$L$245,4,FALSE)))</f>
        <v/>
      </c>
      <c r="L22" s="6" t="str">
        <f>IF($E22="","",IF($E22="not included",I22,VLOOKUP($E22,'DID-list_Part A'!$A$8:$L$245,7,FALSE)))</f>
        <v/>
      </c>
      <c r="M22" s="6" t="str">
        <f>IF($E22="","",IF($E22="not included",J22,VLOOKUP($E22,'DID-list_Part A'!$A$8:$L$245,11,FALSE)))</f>
        <v/>
      </c>
      <c r="N22" s="9"/>
      <c r="O22" s="7"/>
      <c r="P22" s="8"/>
      <c r="Q22" s="8"/>
    </row>
    <row r="23" spans="1:17">
      <c r="A23" s="5">
        <v>14</v>
      </c>
      <c r="B23" s="6" t="str">
        <f>IF('Ingoing substances'!B23="","",IF('Ingoing substances'!V23="No","",'Ingoing substances'!B23))</f>
        <v/>
      </c>
      <c r="C23" s="6" t="str">
        <f>IF('Ingoing substances'!C23="","",IF('Ingoing substances'!V23="No","",'Ingoing substances'!C23))</f>
        <v/>
      </c>
      <c r="D23" s="6" t="str">
        <f>IF('Ingoing substances'!G23="","",IF('Ingoing substances'!V23="No","",'Ingoing substances'!G23))</f>
        <v/>
      </c>
      <c r="E23" s="9"/>
      <c r="F23" s="6" t="str">
        <f>IF(E23="","",VLOOKUP($E23,'DID-list_Part A'!$A$8:$L$245,3,FALSE))</f>
        <v/>
      </c>
      <c r="G23" s="6">
        <f>IF('Ingoing substances'!V23="No","",'Ingoing substances'!M23)</f>
        <v>0</v>
      </c>
      <c r="H23" s="8"/>
      <c r="I23" s="8"/>
      <c r="J23" s="8"/>
      <c r="K23" s="6" t="str">
        <f>IF($E23="","",IF($E23="not included",H23,VLOOKUP($E23,'DID-list_Part A'!$A$8:$L$245,4,FALSE)))</f>
        <v/>
      </c>
      <c r="L23" s="6" t="str">
        <f>IF($E23="","",IF($E23="not included",I23,VLOOKUP($E23,'DID-list_Part A'!$A$8:$L$245,7,FALSE)))</f>
        <v/>
      </c>
      <c r="M23" s="6" t="str">
        <f>IF($E23="","",IF($E23="not included",J23,VLOOKUP($E23,'DID-list_Part A'!$A$8:$L$245,11,FALSE)))</f>
        <v/>
      </c>
      <c r="N23" s="9"/>
      <c r="O23" s="7"/>
      <c r="P23" s="8"/>
      <c r="Q23" s="8"/>
    </row>
    <row r="24" spans="1:17">
      <c r="A24" s="5">
        <v>15</v>
      </c>
      <c r="B24" s="6" t="str">
        <f>IF('Ingoing substances'!B24="","",IF('Ingoing substances'!V24="No","",'Ingoing substances'!B24))</f>
        <v/>
      </c>
      <c r="C24" s="6" t="str">
        <f>IF('Ingoing substances'!C24="","",IF('Ingoing substances'!V24="No","",'Ingoing substances'!C24))</f>
        <v/>
      </c>
      <c r="D24" s="6" t="str">
        <f>IF('Ingoing substances'!G24="","",IF('Ingoing substances'!V24="No","",'Ingoing substances'!G24))</f>
        <v/>
      </c>
      <c r="E24" s="9"/>
      <c r="F24" s="6" t="str">
        <f>IF(E24="","",VLOOKUP($E24,'DID-list_Part A'!$A$8:$L$245,3,FALSE))</f>
        <v/>
      </c>
      <c r="G24" s="6">
        <f>IF('Ingoing substances'!V24="No","",'Ingoing substances'!M24)</f>
        <v>0</v>
      </c>
      <c r="H24" s="8"/>
      <c r="I24" s="8"/>
      <c r="J24" s="8"/>
      <c r="K24" s="6" t="str">
        <f>IF($E24="","",IF($E24="not included",H24,VLOOKUP($E24,'DID-list_Part A'!$A$8:$L$245,4,FALSE)))</f>
        <v/>
      </c>
      <c r="L24" s="6" t="str">
        <f>IF($E24="","",IF($E24="not included",I24,VLOOKUP($E24,'DID-list_Part A'!$A$8:$L$245,7,FALSE)))</f>
        <v/>
      </c>
      <c r="M24" s="6" t="str">
        <f>IF($E24="","",IF($E24="not included",J24,VLOOKUP($E24,'DID-list_Part A'!$A$8:$L$245,11,FALSE)))</f>
        <v/>
      </c>
      <c r="N24" s="9"/>
      <c r="O24" s="7"/>
      <c r="P24" s="8"/>
      <c r="Q24" s="8"/>
    </row>
    <row r="25" spans="1:17">
      <c r="A25" s="5">
        <v>16</v>
      </c>
      <c r="B25" s="6" t="str">
        <f>IF('Ingoing substances'!B25="","",IF('Ingoing substances'!V25="No","",'Ingoing substances'!B25))</f>
        <v/>
      </c>
      <c r="C25" s="6" t="str">
        <f>IF('Ingoing substances'!C25="","",IF('Ingoing substances'!V25="No","",'Ingoing substances'!C25))</f>
        <v/>
      </c>
      <c r="D25" s="6" t="str">
        <f>IF('Ingoing substances'!G25="","",IF('Ingoing substances'!V25="No","",'Ingoing substances'!G25))</f>
        <v/>
      </c>
      <c r="E25" s="9"/>
      <c r="F25" s="6" t="str">
        <f>IF(E25="","",VLOOKUP($E25,'DID-list_Part A'!$A$8:$L$245,3,FALSE))</f>
        <v/>
      </c>
      <c r="G25" s="6">
        <f>IF('Ingoing substances'!V25="No","",'Ingoing substances'!M25)</f>
        <v>0</v>
      </c>
      <c r="H25" s="8"/>
      <c r="I25" s="8"/>
      <c r="J25" s="8"/>
      <c r="K25" s="6" t="str">
        <f>IF($E25="","",IF($E25="not included",H25,VLOOKUP($E25,'DID-list_Part A'!$A$8:$L$245,4,FALSE)))</f>
        <v/>
      </c>
      <c r="L25" s="6" t="str">
        <f>IF($E25="","",IF($E25="not included",I25,VLOOKUP($E25,'DID-list_Part A'!$A$8:$L$245,7,FALSE)))</f>
        <v/>
      </c>
      <c r="M25" s="6" t="str">
        <f>IF($E25="","",IF($E25="not included",J25,VLOOKUP($E25,'DID-list_Part A'!$A$8:$L$245,11,FALSE)))</f>
        <v/>
      </c>
      <c r="N25" s="9"/>
      <c r="O25" s="7"/>
      <c r="P25" s="8"/>
      <c r="Q25" s="8"/>
    </row>
    <row r="26" spans="1:17">
      <c r="A26" s="5">
        <v>17</v>
      </c>
      <c r="B26" s="6" t="str">
        <f>IF('Ingoing substances'!B26="","",IF('Ingoing substances'!V26="No","",'Ingoing substances'!B26))</f>
        <v/>
      </c>
      <c r="C26" s="6" t="str">
        <f>IF('Ingoing substances'!C26="","",IF('Ingoing substances'!V26="No","",'Ingoing substances'!C26))</f>
        <v/>
      </c>
      <c r="D26" s="6" t="str">
        <f>IF('Ingoing substances'!G26="","",IF('Ingoing substances'!V26="No","",'Ingoing substances'!G26))</f>
        <v/>
      </c>
      <c r="E26" s="9"/>
      <c r="F26" s="6" t="str">
        <f>IF(E26="","",VLOOKUP($E26,'DID-list_Part A'!$A$8:$L$245,3,FALSE))</f>
        <v/>
      </c>
      <c r="G26" s="6">
        <f>IF('Ingoing substances'!V26="No","",'Ingoing substances'!M26)</f>
        <v>0</v>
      </c>
      <c r="H26" s="8"/>
      <c r="I26" s="8"/>
      <c r="J26" s="8"/>
      <c r="K26" s="6" t="str">
        <f>IF($E26="","",IF($E26="not included",H26,VLOOKUP($E26,'DID-list_Part A'!$A$8:$L$245,4,FALSE)))</f>
        <v/>
      </c>
      <c r="L26" s="6" t="str">
        <f>IF($E26="","",IF($E26="not included",I26,VLOOKUP($E26,'DID-list_Part A'!$A$8:$L$245,7,FALSE)))</f>
        <v/>
      </c>
      <c r="M26" s="6" t="str">
        <f>IF($E26="","",IF($E26="not included",J26,VLOOKUP($E26,'DID-list_Part A'!$A$8:$L$245,11,FALSE)))</f>
        <v/>
      </c>
      <c r="N26" s="9"/>
      <c r="O26" s="7"/>
      <c r="P26" s="8"/>
      <c r="Q26" s="8"/>
    </row>
    <row r="27" spans="1:17">
      <c r="A27" s="5">
        <v>18</v>
      </c>
      <c r="B27" s="6" t="str">
        <f>IF('Ingoing substances'!B27="","",IF('Ingoing substances'!V27="No","",'Ingoing substances'!B27))</f>
        <v/>
      </c>
      <c r="C27" s="6" t="str">
        <f>IF('Ingoing substances'!C27="","",IF('Ingoing substances'!V27="No","",'Ingoing substances'!C27))</f>
        <v/>
      </c>
      <c r="D27" s="6" t="str">
        <f>IF('Ingoing substances'!G27="","",IF('Ingoing substances'!V27="No","",'Ingoing substances'!G27))</f>
        <v/>
      </c>
      <c r="E27" s="9"/>
      <c r="F27" s="6" t="str">
        <f>IF(E27="","",VLOOKUP($E27,'DID-list_Part A'!$A$8:$L$245,3,FALSE))</f>
        <v/>
      </c>
      <c r="G27" s="6">
        <f>IF('Ingoing substances'!V27="No","",'Ingoing substances'!M27)</f>
        <v>0</v>
      </c>
      <c r="H27" s="8"/>
      <c r="I27" s="8"/>
      <c r="J27" s="8"/>
      <c r="K27" s="6" t="str">
        <f>IF($E27="","",IF($E27="not included",H27,VLOOKUP($E27,'DID-list_Part A'!$A$8:$L$245,4,FALSE)))</f>
        <v/>
      </c>
      <c r="L27" s="6" t="str">
        <f>IF($E27="","",IF($E27="not included",I27,VLOOKUP($E27,'DID-list_Part A'!$A$8:$L$245,7,FALSE)))</f>
        <v/>
      </c>
      <c r="M27" s="6" t="str">
        <f>IF($E27="","",IF($E27="not included",J27,VLOOKUP($E27,'DID-list_Part A'!$A$8:$L$245,11,FALSE)))</f>
        <v/>
      </c>
      <c r="N27" s="9"/>
      <c r="O27" s="7"/>
      <c r="P27" s="8"/>
      <c r="Q27" s="8"/>
    </row>
    <row r="28" spans="1:17">
      <c r="A28" s="5">
        <v>19</v>
      </c>
      <c r="B28" s="6" t="str">
        <f>IF('Ingoing substances'!B28="","",IF('Ingoing substances'!V28="No","",'Ingoing substances'!B28))</f>
        <v/>
      </c>
      <c r="C28" s="6" t="str">
        <f>IF('Ingoing substances'!C28="","",IF('Ingoing substances'!V28="No","",'Ingoing substances'!C28))</f>
        <v/>
      </c>
      <c r="D28" s="6" t="str">
        <f>IF('Ingoing substances'!G28="","",IF('Ingoing substances'!V28="No","",'Ingoing substances'!G28))</f>
        <v/>
      </c>
      <c r="E28" s="9"/>
      <c r="F28" s="6" t="str">
        <f>IF(E28="","",VLOOKUP($E28,'DID-list_Part A'!$A$8:$L$245,3,FALSE))</f>
        <v/>
      </c>
      <c r="G28" s="6">
        <f>IF('Ingoing substances'!V28="No","",'Ingoing substances'!M28)</f>
        <v>0</v>
      </c>
      <c r="H28" s="8"/>
      <c r="I28" s="8"/>
      <c r="J28" s="8"/>
      <c r="K28" s="6" t="str">
        <f>IF($E28="","",IF($E28="not included",H28,VLOOKUP($E28,'DID-list_Part A'!$A$8:$L$245,4,FALSE)))</f>
        <v/>
      </c>
      <c r="L28" s="6" t="str">
        <f>IF($E28="","",IF($E28="not included",I28,VLOOKUP($E28,'DID-list_Part A'!$A$8:$L$245,7,FALSE)))</f>
        <v/>
      </c>
      <c r="M28" s="6" t="str">
        <f>IF($E28="","",IF($E28="not included",J28,VLOOKUP($E28,'DID-list_Part A'!$A$8:$L$245,11,FALSE)))</f>
        <v/>
      </c>
      <c r="N28" s="9"/>
      <c r="O28" s="7"/>
      <c r="P28" s="8"/>
      <c r="Q28" s="8"/>
    </row>
    <row r="29" spans="1:17">
      <c r="A29" s="5">
        <v>20</v>
      </c>
      <c r="B29" s="6" t="str">
        <f>IF('Ingoing substances'!B29="","",IF('Ingoing substances'!V29="No","",'Ingoing substances'!B29))</f>
        <v/>
      </c>
      <c r="C29" s="6" t="str">
        <f>IF('Ingoing substances'!C29="","",IF('Ingoing substances'!V29="No","",'Ingoing substances'!C29))</f>
        <v/>
      </c>
      <c r="D29" s="6" t="str">
        <f>IF('Ingoing substances'!G29="","",IF('Ingoing substances'!V29="No","",'Ingoing substances'!G29))</f>
        <v/>
      </c>
      <c r="E29" s="9"/>
      <c r="F29" s="6" t="str">
        <f>IF(E29="","",VLOOKUP($E29,'DID-list_Part A'!$A$8:$L$245,3,FALSE))</f>
        <v/>
      </c>
      <c r="G29" s="6">
        <f>IF('Ingoing substances'!V29="No","",'Ingoing substances'!M29)</f>
        <v>0</v>
      </c>
      <c r="H29" s="8"/>
      <c r="I29" s="8"/>
      <c r="J29" s="8"/>
      <c r="K29" s="6" t="str">
        <f>IF($E29="","",IF($E29="not included",H29,VLOOKUP($E29,'DID-list_Part A'!$A$8:$L$245,4,FALSE)))</f>
        <v/>
      </c>
      <c r="L29" s="6" t="str">
        <f>IF($E29="","",IF($E29="not included",I29,VLOOKUP($E29,'DID-list_Part A'!$A$8:$L$245,7,FALSE)))</f>
        <v/>
      </c>
      <c r="M29" s="6" t="str">
        <f>IF($E29="","",IF($E29="not included",J29,VLOOKUP($E29,'DID-list_Part A'!$A$8:$L$245,11,FALSE)))</f>
        <v/>
      </c>
      <c r="N29" s="9"/>
      <c r="O29" s="7"/>
      <c r="P29" s="8"/>
      <c r="Q29" s="8"/>
    </row>
    <row r="30" spans="1:17">
      <c r="A30" s="5">
        <v>21</v>
      </c>
      <c r="B30" s="6" t="str">
        <f>IF('Ingoing substances'!B30="","",IF('Ingoing substances'!V30="No","",'Ingoing substances'!B30))</f>
        <v/>
      </c>
      <c r="C30" s="6" t="str">
        <f>IF('Ingoing substances'!C30="","",IF('Ingoing substances'!V30="No","",'Ingoing substances'!C30))</f>
        <v/>
      </c>
      <c r="D30" s="6" t="str">
        <f>IF('Ingoing substances'!G30="","",IF('Ingoing substances'!V30="No","",'Ingoing substances'!G30))</f>
        <v/>
      </c>
      <c r="E30" s="9"/>
      <c r="F30" s="6" t="str">
        <f>IF(E30="","",VLOOKUP($E30,'DID-list_Part A'!$A$8:$L$245,3,FALSE))</f>
        <v/>
      </c>
      <c r="G30" s="6">
        <f>IF('Ingoing substances'!V30="No","",'Ingoing substances'!M30)</f>
        <v>0</v>
      </c>
      <c r="H30" s="8"/>
      <c r="I30" s="8"/>
      <c r="J30" s="8"/>
      <c r="K30" s="6" t="str">
        <f>IF($E30="","",IF($E30="not included",H30,VLOOKUP($E30,'DID-list_Part A'!$A$8:$L$245,4,FALSE)))</f>
        <v/>
      </c>
      <c r="L30" s="6" t="str">
        <f>IF($E30="","",IF($E30="not included",I30,VLOOKUP($E30,'DID-list_Part A'!$A$8:$L$245,7,FALSE)))</f>
        <v/>
      </c>
      <c r="M30" s="6" t="str">
        <f>IF($E30="","",IF($E30="not included",J30,VLOOKUP($E30,'DID-list_Part A'!$A$8:$L$245,11,FALSE)))</f>
        <v/>
      </c>
      <c r="N30" s="9"/>
      <c r="O30" s="7"/>
      <c r="P30" s="8"/>
      <c r="Q30" s="8"/>
    </row>
    <row r="31" spans="1:17">
      <c r="A31" s="5">
        <v>22</v>
      </c>
      <c r="B31" s="6" t="str">
        <f>IF('Ingoing substances'!B31="","",IF('Ingoing substances'!V31="No","",'Ingoing substances'!B31))</f>
        <v/>
      </c>
      <c r="C31" s="6" t="str">
        <f>IF('Ingoing substances'!C31="","",IF('Ingoing substances'!V31="No","",'Ingoing substances'!C31))</f>
        <v/>
      </c>
      <c r="D31" s="6" t="str">
        <f>IF('Ingoing substances'!G31="","",IF('Ingoing substances'!V31="No","",'Ingoing substances'!G31))</f>
        <v/>
      </c>
      <c r="E31" s="9"/>
      <c r="F31" s="6" t="str">
        <f>IF(E31="","",VLOOKUP($E31,'DID-list_Part A'!$A$8:$L$245,3,FALSE))</f>
        <v/>
      </c>
      <c r="G31" s="6">
        <f>IF('Ingoing substances'!V31="No","",'Ingoing substances'!M31)</f>
        <v>0</v>
      </c>
      <c r="H31" s="8"/>
      <c r="I31" s="8"/>
      <c r="J31" s="8"/>
      <c r="K31" s="6" t="str">
        <f>IF($E31="","",IF($E31="not included",H31,VLOOKUP($E31,'DID-list_Part A'!$A$8:$L$245,4,FALSE)))</f>
        <v/>
      </c>
      <c r="L31" s="6" t="str">
        <f>IF($E31="","",IF($E31="not included",I31,VLOOKUP($E31,'DID-list_Part A'!$A$8:$L$245,7,FALSE)))</f>
        <v/>
      </c>
      <c r="M31" s="6" t="str">
        <f>IF($E31="","",IF($E31="not included",J31,VLOOKUP($E31,'DID-list_Part A'!$A$8:$L$245,11,FALSE)))</f>
        <v/>
      </c>
      <c r="N31" s="9"/>
      <c r="O31" s="7"/>
      <c r="P31" s="8"/>
      <c r="Q31" s="8"/>
    </row>
    <row r="32" spans="1:17">
      <c r="A32" s="5">
        <v>23</v>
      </c>
      <c r="B32" s="6" t="str">
        <f>IF('Ingoing substances'!B32="","",IF('Ingoing substances'!V32="No","",'Ingoing substances'!B32))</f>
        <v/>
      </c>
      <c r="C32" s="6" t="str">
        <f>IF('Ingoing substances'!C32="","",IF('Ingoing substances'!V32="No","",'Ingoing substances'!C32))</f>
        <v/>
      </c>
      <c r="D32" s="6" t="str">
        <f>IF('Ingoing substances'!G32="","",IF('Ingoing substances'!V32="No","",'Ingoing substances'!G32))</f>
        <v/>
      </c>
      <c r="E32" s="9"/>
      <c r="F32" s="6" t="str">
        <f>IF(E32="","",VLOOKUP($E32,'DID-list_Part A'!$A$8:$L$245,3,FALSE))</f>
        <v/>
      </c>
      <c r="G32" s="6">
        <f>IF('Ingoing substances'!V32="No","",'Ingoing substances'!M32)</f>
        <v>0</v>
      </c>
      <c r="H32" s="8"/>
      <c r="I32" s="8"/>
      <c r="J32" s="8"/>
      <c r="K32" s="6" t="str">
        <f>IF($E32="","",IF($E32="not included",H32,VLOOKUP($E32,'DID-list_Part A'!$A$8:$L$245,4,FALSE)))</f>
        <v/>
      </c>
      <c r="L32" s="6" t="str">
        <f>IF($E32="","",IF($E32="not included",I32,VLOOKUP($E32,'DID-list_Part A'!$A$8:$L$245,7,FALSE)))</f>
        <v/>
      </c>
      <c r="M32" s="6" t="str">
        <f>IF($E32="","",IF($E32="not included",J32,VLOOKUP($E32,'DID-list_Part A'!$A$8:$L$245,11,FALSE)))</f>
        <v/>
      </c>
      <c r="N32" s="9"/>
      <c r="O32" s="7"/>
      <c r="P32" s="8"/>
      <c r="Q32" s="8"/>
    </row>
    <row r="33" spans="1:17">
      <c r="A33" s="5">
        <v>24</v>
      </c>
      <c r="B33" s="6" t="str">
        <f>IF('Ingoing substances'!B33="","",IF('Ingoing substances'!V33="No","",'Ingoing substances'!B33))</f>
        <v/>
      </c>
      <c r="C33" s="6" t="str">
        <f>IF('Ingoing substances'!C33="","",IF('Ingoing substances'!V33="No","",'Ingoing substances'!C33))</f>
        <v/>
      </c>
      <c r="D33" s="6" t="str">
        <f>IF('Ingoing substances'!G33="","",IF('Ingoing substances'!V33="No","",'Ingoing substances'!G33))</f>
        <v/>
      </c>
      <c r="E33" s="9"/>
      <c r="F33" s="6" t="str">
        <f>IF(E33="","",VLOOKUP($E33,'DID-list_Part A'!$A$8:$L$245,3,FALSE))</f>
        <v/>
      </c>
      <c r="G33" s="6">
        <f>IF('Ingoing substances'!V33="No","",'Ingoing substances'!M33)</f>
        <v>0</v>
      </c>
      <c r="H33" s="8"/>
      <c r="I33" s="8"/>
      <c r="J33" s="8"/>
      <c r="K33" s="6" t="str">
        <f>IF($E33="","",IF($E33="not included",H33,VLOOKUP($E33,'DID-list_Part A'!$A$8:$L$245,4,FALSE)))</f>
        <v/>
      </c>
      <c r="L33" s="6" t="str">
        <f>IF($E33="","",IF($E33="not included",I33,VLOOKUP($E33,'DID-list_Part A'!$A$8:$L$245,7,FALSE)))</f>
        <v/>
      </c>
      <c r="M33" s="6" t="str">
        <f>IF($E33="","",IF($E33="not included",J33,VLOOKUP($E33,'DID-list_Part A'!$A$8:$L$245,11,FALSE)))</f>
        <v/>
      </c>
      <c r="N33" s="9"/>
      <c r="O33" s="7"/>
      <c r="P33" s="8"/>
      <c r="Q33" s="8"/>
    </row>
    <row r="34" spans="1:17">
      <c r="A34" s="5">
        <v>25</v>
      </c>
      <c r="B34" s="6" t="str">
        <f>IF('Ingoing substances'!B34="","",IF('Ingoing substances'!V34="No","",'Ingoing substances'!B34))</f>
        <v/>
      </c>
      <c r="C34" s="6" t="str">
        <f>IF('Ingoing substances'!C34="","",IF('Ingoing substances'!V34="No","",'Ingoing substances'!C34))</f>
        <v/>
      </c>
      <c r="D34" s="6" t="str">
        <f>IF('Ingoing substances'!G34="","",IF('Ingoing substances'!V34="No","",'Ingoing substances'!G34))</f>
        <v/>
      </c>
      <c r="E34" s="9"/>
      <c r="F34" s="6" t="str">
        <f>IF(E34="","",VLOOKUP($E34,'DID-list_Part A'!$A$8:$L$245,3,FALSE))</f>
        <v/>
      </c>
      <c r="G34" s="6">
        <f>IF('Ingoing substances'!V34="No","",'Ingoing substances'!M34)</f>
        <v>0</v>
      </c>
      <c r="H34" s="8"/>
      <c r="I34" s="8"/>
      <c r="J34" s="8"/>
      <c r="K34" s="6" t="str">
        <f>IF($E34="","",IF($E34="not included",H34,VLOOKUP($E34,'DID-list_Part A'!$A$8:$L$245,4,FALSE)))</f>
        <v/>
      </c>
      <c r="L34" s="6" t="str">
        <f>IF($E34="","",IF($E34="not included",I34,VLOOKUP($E34,'DID-list_Part A'!$A$8:$L$245,7,FALSE)))</f>
        <v/>
      </c>
      <c r="M34" s="6" t="str">
        <f>IF($E34="","",IF($E34="not included",J34,VLOOKUP($E34,'DID-list_Part A'!$A$8:$L$245,11,FALSE)))</f>
        <v/>
      </c>
      <c r="N34" s="9"/>
      <c r="O34" s="7"/>
      <c r="P34" s="8"/>
      <c r="Q34" s="8"/>
    </row>
    <row r="35" spans="1:17">
      <c r="A35" s="5">
        <v>26</v>
      </c>
      <c r="B35" s="6" t="str">
        <f>IF('Ingoing substances'!B35="","",IF('Ingoing substances'!V35="No","",'Ingoing substances'!B35))</f>
        <v/>
      </c>
      <c r="C35" s="6" t="str">
        <f>IF('Ingoing substances'!C35="","",IF('Ingoing substances'!V35="No","",'Ingoing substances'!C35))</f>
        <v/>
      </c>
      <c r="D35" s="6" t="str">
        <f>IF('Ingoing substances'!G35="","",IF('Ingoing substances'!V35="No","",'Ingoing substances'!G35))</f>
        <v/>
      </c>
      <c r="E35" s="9"/>
      <c r="F35" s="6" t="str">
        <f>IF(E35="","",VLOOKUP($E35,'DID-list_Part A'!$A$8:$L$245,3,FALSE))</f>
        <v/>
      </c>
      <c r="G35" s="6">
        <f>IF('Ingoing substances'!V35="No","",'Ingoing substances'!M35)</f>
        <v>0</v>
      </c>
      <c r="H35" s="8"/>
      <c r="I35" s="8"/>
      <c r="J35" s="8"/>
      <c r="K35" s="6" t="str">
        <f>IF($E35="","",IF($E35="not included",H35,VLOOKUP($E35,'DID-list_Part A'!$A$8:$L$245,4,FALSE)))</f>
        <v/>
      </c>
      <c r="L35" s="6" t="str">
        <f>IF($E35="","",IF($E35="not included",I35,VLOOKUP($E35,'DID-list_Part A'!$A$8:$L$245,7,FALSE)))</f>
        <v/>
      </c>
      <c r="M35" s="6" t="str">
        <f>IF($E35="","",IF($E35="not included",J35,VLOOKUP($E35,'DID-list_Part A'!$A$8:$L$245,11,FALSE)))</f>
        <v/>
      </c>
      <c r="N35" s="9"/>
      <c r="O35" s="7"/>
      <c r="P35" s="8"/>
      <c r="Q35" s="8"/>
    </row>
    <row r="36" spans="1:17">
      <c r="A36" s="5">
        <v>27</v>
      </c>
      <c r="B36" s="6" t="str">
        <f>IF('Ingoing substances'!B36="","",IF('Ingoing substances'!V36="No","",'Ingoing substances'!B36))</f>
        <v/>
      </c>
      <c r="C36" s="6" t="str">
        <f>IF('Ingoing substances'!C36="","",IF('Ingoing substances'!V36="No","",'Ingoing substances'!C36))</f>
        <v/>
      </c>
      <c r="D36" s="6" t="str">
        <f>IF('Ingoing substances'!G36="","",IF('Ingoing substances'!V36="No","",'Ingoing substances'!G36))</f>
        <v/>
      </c>
      <c r="E36" s="9"/>
      <c r="F36" s="6" t="str">
        <f>IF(E36="","",VLOOKUP($E36,'DID-list_Part A'!$A$8:$L$245,3,FALSE))</f>
        <v/>
      </c>
      <c r="G36" s="6">
        <f>IF('Ingoing substances'!V36="No","",'Ingoing substances'!M36)</f>
        <v>0</v>
      </c>
      <c r="H36" s="8"/>
      <c r="I36" s="8"/>
      <c r="J36" s="8"/>
      <c r="K36" s="6" t="str">
        <f>IF($E36="","",IF($E36="not included",H36,VLOOKUP($E36,'DID-list_Part A'!$A$8:$L$245,4,FALSE)))</f>
        <v/>
      </c>
      <c r="L36" s="6" t="str">
        <f>IF($E36="","",IF($E36="not included",I36,VLOOKUP($E36,'DID-list_Part A'!$A$8:$L$245,7,FALSE)))</f>
        <v/>
      </c>
      <c r="M36" s="6" t="str">
        <f>IF($E36="","",IF($E36="not included",J36,VLOOKUP($E36,'DID-list_Part A'!$A$8:$L$245,11,FALSE)))</f>
        <v/>
      </c>
      <c r="N36" s="9"/>
      <c r="O36" s="7"/>
      <c r="P36" s="8"/>
      <c r="Q36" s="8"/>
    </row>
    <row r="37" spans="1:17">
      <c r="A37" s="5">
        <v>28</v>
      </c>
      <c r="B37" s="6" t="str">
        <f>IF('Ingoing substances'!B37="","",IF('Ingoing substances'!V37="No","",'Ingoing substances'!B37))</f>
        <v/>
      </c>
      <c r="C37" s="6" t="str">
        <f>IF('Ingoing substances'!C37="","",IF('Ingoing substances'!V37="No","",'Ingoing substances'!C37))</f>
        <v/>
      </c>
      <c r="D37" s="6" t="str">
        <f>IF('Ingoing substances'!G37="","",IF('Ingoing substances'!V37="No","",'Ingoing substances'!G37))</f>
        <v/>
      </c>
      <c r="E37" s="9"/>
      <c r="F37" s="6" t="str">
        <f>IF(E37="","",VLOOKUP($E37,'DID-list_Part A'!$A$8:$L$245,3,FALSE))</f>
        <v/>
      </c>
      <c r="G37" s="6">
        <f>IF('Ingoing substances'!V37="No","",'Ingoing substances'!M37)</f>
        <v>0</v>
      </c>
      <c r="H37" s="8"/>
      <c r="I37" s="8"/>
      <c r="J37" s="8"/>
      <c r="K37" s="6" t="str">
        <f>IF($E37="","",IF($E37="not included",H37,VLOOKUP($E37,'DID-list_Part A'!$A$8:$L$245,4,FALSE)))</f>
        <v/>
      </c>
      <c r="L37" s="6" t="str">
        <f>IF($E37="","",IF($E37="not included",I37,VLOOKUP($E37,'DID-list_Part A'!$A$8:$L$245,7,FALSE)))</f>
        <v/>
      </c>
      <c r="M37" s="6" t="str">
        <f>IF($E37="","",IF($E37="not included",J37,VLOOKUP($E37,'DID-list_Part A'!$A$8:$L$245,11,FALSE)))</f>
        <v/>
      </c>
      <c r="N37" s="9"/>
      <c r="O37" s="7"/>
      <c r="P37" s="8"/>
      <c r="Q37" s="8"/>
    </row>
    <row r="38" spans="1:17">
      <c r="A38" s="5">
        <v>29</v>
      </c>
      <c r="B38" s="6" t="str">
        <f>IF('Ingoing substances'!B38="","",IF('Ingoing substances'!V38="No","",'Ingoing substances'!B38))</f>
        <v/>
      </c>
      <c r="C38" s="6" t="str">
        <f>IF('Ingoing substances'!C38="","",IF('Ingoing substances'!V38="No","",'Ingoing substances'!C38))</f>
        <v/>
      </c>
      <c r="D38" s="6" t="str">
        <f>IF('Ingoing substances'!G38="","",IF('Ingoing substances'!V38="No","",'Ingoing substances'!G38))</f>
        <v/>
      </c>
      <c r="E38" s="9"/>
      <c r="F38" s="6" t="str">
        <f>IF(E38="","",VLOOKUP($E38,'DID-list_Part A'!$A$8:$L$245,3,FALSE))</f>
        <v/>
      </c>
      <c r="G38" s="6">
        <f>IF('Ingoing substances'!V38="No","",'Ingoing substances'!M38)</f>
        <v>0</v>
      </c>
      <c r="H38" s="8"/>
      <c r="I38" s="8"/>
      <c r="J38" s="8"/>
      <c r="K38" s="6" t="str">
        <f>IF($E38="","",IF($E38="not included",H38,VLOOKUP($E38,'DID-list_Part A'!$A$8:$L$245,4,FALSE)))</f>
        <v/>
      </c>
      <c r="L38" s="6" t="str">
        <f>IF($E38="","",IF($E38="not included",I38,VLOOKUP($E38,'DID-list_Part A'!$A$8:$L$245,7,FALSE)))</f>
        <v/>
      </c>
      <c r="M38" s="6" t="str">
        <f>IF($E38="","",IF($E38="not included",J38,VLOOKUP($E38,'DID-list_Part A'!$A$8:$L$245,11,FALSE)))</f>
        <v/>
      </c>
      <c r="N38" s="9"/>
      <c r="O38" s="7"/>
      <c r="P38" s="8"/>
      <c r="Q38" s="8"/>
    </row>
    <row r="39" spans="1:17">
      <c r="A39" s="5">
        <v>30</v>
      </c>
      <c r="B39" s="6" t="str">
        <f>IF('Ingoing substances'!B39="","",IF('Ingoing substances'!V39="No","",'Ingoing substances'!B39))</f>
        <v/>
      </c>
      <c r="C39" s="6" t="str">
        <f>IF('Ingoing substances'!C39="","",IF('Ingoing substances'!V39="No","",'Ingoing substances'!C39))</f>
        <v/>
      </c>
      <c r="D39" s="6" t="str">
        <f>IF('Ingoing substances'!G39="","",IF('Ingoing substances'!V39="No","",'Ingoing substances'!G39))</f>
        <v/>
      </c>
      <c r="E39" s="9"/>
      <c r="F39" s="6" t="str">
        <f>IF(E39="","",VLOOKUP($E39,'DID-list_Part A'!$A$8:$L$245,3,FALSE))</f>
        <v/>
      </c>
      <c r="G39" s="6">
        <f>IF('Ingoing substances'!V39="No","",'Ingoing substances'!M39)</f>
        <v>0</v>
      </c>
      <c r="H39" s="8"/>
      <c r="I39" s="8"/>
      <c r="J39" s="8"/>
      <c r="K39" s="6" t="str">
        <f>IF($E39="","",IF($E39="not included",H39,VLOOKUP($E39,'DID-list_Part A'!$A$8:$L$245,4,FALSE)))</f>
        <v/>
      </c>
      <c r="L39" s="6" t="str">
        <f>IF($E39="","",IF($E39="not included",I39,VLOOKUP($E39,'DID-list_Part A'!$A$8:$L$245,7,FALSE)))</f>
        <v/>
      </c>
      <c r="M39" s="6" t="str">
        <f>IF($E39="","",IF($E39="not included",J39,VLOOKUP($E39,'DID-list_Part A'!$A$8:$L$245,11,FALSE)))</f>
        <v/>
      </c>
      <c r="N39" s="9"/>
      <c r="O39" s="7"/>
      <c r="P39" s="8"/>
      <c r="Q39" s="8"/>
    </row>
    <row r="40" spans="1:17">
      <c r="A40" s="5">
        <v>31</v>
      </c>
      <c r="B40" s="6" t="str">
        <f>IF('Ingoing substances'!B40="","",IF('Ingoing substances'!V40="No","",'Ingoing substances'!B40))</f>
        <v/>
      </c>
      <c r="C40" s="6" t="str">
        <f>IF('Ingoing substances'!C40="","",IF('Ingoing substances'!V40="No","",'Ingoing substances'!C40))</f>
        <v/>
      </c>
      <c r="D40" s="6" t="str">
        <f>IF('Ingoing substances'!G40="","",IF('Ingoing substances'!V40="No","",'Ingoing substances'!G40))</f>
        <v/>
      </c>
      <c r="E40" s="9"/>
      <c r="F40" s="6" t="str">
        <f>IF(E40="","",VLOOKUP($E40,'DID-list_Part A'!$A$8:$L$245,3,FALSE))</f>
        <v/>
      </c>
      <c r="G40" s="6">
        <f>IF('Ingoing substances'!V40="No","",'Ingoing substances'!M40)</f>
        <v>0</v>
      </c>
      <c r="H40" s="8"/>
      <c r="I40" s="8"/>
      <c r="J40" s="8"/>
      <c r="K40" s="6" t="str">
        <f>IF($E40="","",IF($E40="not included",H40,VLOOKUP($E40,'DID-list_Part A'!$A$8:$L$245,4,FALSE)))</f>
        <v/>
      </c>
      <c r="L40" s="6" t="str">
        <f>IF($E40="","",IF($E40="not included",I40,VLOOKUP($E40,'DID-list_Part A'!$A$8:$L$245,7,FALSE)))</f>
        <v/>
      </c>
      <c r="M40" s="6" t="str">
        <f>IF($E40="","",IF($E40="not included",J40,VLOOKUP($E40,'DID-list_Part A'!$A$8:$L$245,11,FALSE)))</f>
        <v/>
      </c>
      <c r="N40" s="9"/>
      <c r="O40" s="7"/>
      <c r="P40" s="8"/>
      <c r="Q40" s="8"/>
    </row>
    <row r="41" spans="1:17">
      <c r="A41" s="5">
        <v>32</v>
      </c>
      <c r="B41" s="6" t="str">
        <f>IF('Ingoing substances'!B41="","",IF('Ingoing substances'!V41="No","",'Ingoing substances'!B41))</f>
        <v/>
      </c>
      <c r="C41" s="6" t="str">
        <f>IF('Ingoing substances'!C41="","",IF('Ingoing substances'!V41="No","",'Ingoing substances'!C41))</f>
        <v/>
      </c>
      <c r="D41" s="6" t="str">
        <f>IF('Ingoing substances'!G41="","",IF('Ingoing substances'!V41="No","",'Ingoing substances'!G41))</f>
        <v/>
      </c>
      <c r="E41" s="9"/>
      <c r="F41" s="6" t="str">
        <f>IF(E41="","",VLOOKUP($E41,'DID-list_Part A'!$A$8:$L$245,3,FALSE))</f>
        <v/>
      </c>
      <c r="G41" s="6">
        <f>IF('Ingoing substances'!V41="No","",'Ingoing substances'!M41)</f>
        <v>0</v>
      </c>
      <c r="H41" s="8"/>
      <c r="I41" s="8"/>
      <c r="J41" s="8"/>
      <c r="K41" s="6" t="str">
        <f>IF($E41="","",IF($E41="not included",H41,VLOOKUP($E41,'DID-list_Part A'!$A$8:$L$245,4,FALSE)))</f>
        <v/>
      </c>
      <c r="L41" s="6" t="str">
        <f>IF($E41="","",IF($E41="not included",I41,VLOOKUP($E41,'DID-list_Part A'!$A$8:$L$245,7,FALSE)))</f>
        <v/>
      </c>
      <c r="M41" s="6" t="str">
        <f>IF($E41="","",IF($E41="not included",J41,VLOOKUP($E41,'DID-list_Part A'!$A$8:$L$245,11,FALSE)))</f>
        <v/>
      </c>
      <c r="N41" s="9"/>
      <c r="O41" s="7"/>
      <c r="P41" s="8"/>
      <c r="Q41" s="8"/>
    </row>
    <row r="42" spans="1:17">
      <c r="A42" s="5">
        <v>33</v>
      </c>
      <c r="B42" s="6" t="str">
        <f>IF('Ingoing substances'!B42="","",IF('Ingoing substances'!V42="No","",'Ingoing substances'!B42))</f>
        <v/>
      </c>
      <c r="C42" s="6" t="str">
        <f>IF('Ingoing substances'!C42="","",IF('Ingoing substances'!V42="No","",'Ingoing substances'!C42))</f>
        <v/>
      </c>
      <c r="D42" s="6" t="str">
        <f>IF('Ingoing substances'!G42="","",IF('Ingoing substances'!V42="No","",'Ingoing substances'!G42))</f>
        <v/>
      </c>
      <c r="E42" s="9"/>
      <c r="F42" s="6" t="str">
        <f>IF(E42="","",VLOOKUP($E42,'DID-list_Part A'!$A$8:$L$245,3,FALSE))</f>
        <v/>
      </c>
      <c r="G42" s="6">
        <f>IF('Ingoing substances'!V42="No","",'Ingoing substances'!M42)</f>
        <v>0</v>
      </c>
      <c r="H42" s="8"/>
      <c r="I42" s="8"/>
      <c r="J42" s="8"/>
      <c r="K42" s="6" t="str">
        <f>IF($E42="","",IF($E42="not included",H42,VLOOKUP($E42,'DID-list_Part A'!$A$8:$L$245,4,FALSE)))</f>
        <v/>
      </c>
      <c r="L42" s="6" t="str">
        <f>IF($E42="","",IF($E42="not included",I42,VLOOKUP($E42,'DID-list_Part A'!$A$8:$L$245,7,FALSE)))</f>
        <v/>
      </c>
      <c r="M42" s="6" t="str">
        <f>IF($E42="","",IF($E42="not included",J42,VLOOKUP($E42,'DID-list_Part A'!$A$8:$L$245,11,FALSE)))</f>
        <v/>
      </c>
      <c r="N42" s="9"/>
      <c r="O42" s="7"/>
      <c r="P42" s="8"/>
      <c r="Q42" s="8"/>
    </row>
    <row r="43" spans="1:17">
      <c r="A43" s="5">
        <v>34</v>
      </c>
      <c r="B43" s="6" t="str">
        <f>IF('Ingoing substances'!B43="","",IF('Ingoing substances'!V43="No","",'Ingoing substances'!B43))</f>
        <v/>
      </c>
      <c r="C43" s="6" t="str">
        <f>IF('Ingoing substances'!C43="","",IF('Ingoing substances'!V43="No","",'Ingoing substances'!C43))</f>
        <v/>
      </c>
      <c r="D43" s="6" t="str">
        <f>IF('Ingoing substances'!G43="","",IF('Ingoing substances'!V43="No","",'Ingoing substances'!G43))</f>
        <v/>
      </c>
      <c r="E43" s="9"/>
      <c r="F43" s="6" t="str">
        <f>IF(E43="","",VLOOKUP($E43,'DID-list_Part A'!$A$8:$L$245,3,FALSE))</f>
        <v/>
      </c>
      <c r="G43" s="6">
        <f>IF('Ingoing substances'!V43="No","",'Ingoing substances'!M43)</f>
        <v>0</v>
      </c>
      <c r="H43" s="8"/>
      <c r="I43" s="8"/>
      <c r="J43" s="8"/>
      <c r="K43" s="6" t="str">
        <f>IF($E43="","",IF($E43="not included",H43,VLOOKUP($E43,'DID-list_Part A'!$A$8:$L$245,4,FALSE)))</f>
        <v/>
      </c>
      <c r="L43" s="6" t="str">
        <f>IF($E43="","",IF($E43="not included",I43,VLOOKUP($E43,'DID-list_Part A'!$A$8:$L$245,7,FALSE)))</f>
        <v/>
      </c>
      <c r="M43" s="6" t="str">
        <f>IF($E43="","",IF($E43="not included",J43,VLOOKUP($E43,'DID-list_Part A'!$A$8:$L$245,11,FALSE)))</f>
        <v/>
      </c>
      <c r="N43" s="9"/>
      <c r="O43" s="7"/>
      <c r="P43" s="8"/>
      <c r="Q43" s="8"/>
    </row>
    <row r="44" spans="1:17">
      <c r="A44" s="5">
        <v>35</v>
      </c>
      <c r="B44" s="6" t="str">
        <f>IF('Ingoing substances'!B44="","",IF('Ingoing substances'!V44="No","",'Ingoing substances'!B44))</f>
        <v/>
      </c>
      <c r="C44" s="6" t="str">
        <f>IF('Ingoing substances'!C44="","",IF('Ingoing substances'!V44="No","",'Ingoing substances'!C44))</f>
        <v/>
      </c>
      <c r="D44" s="6" t="str">
        <f>IF('Ingoing substances'!G44="","",IF('Ingoing substances'!V44="No","",'Ingoing substances'!G44))</f>
        <v/>
      </c>
      <c r="E44" s="9"/>
      <c r="F44" s="6" t="str">
        <f>IF(E44="","",VLOOKUP($E44,'DID-list_Part A'!$A$8:$L$245,3,FALSE))</f>
        <v/>
      </c>
      <c r="G44" s="6">
        <f>IF('Ingoing substances'!V44="No","",'Ingoing substances'!M44)</f>
        <v>0</v>
      </c>
      <c r="H44" s="8"/>
      <c r="I44" s="8"/>
      <c r="J44" s="8"/>
      <c r="K44" s="6" t="str">
        <f>IF($E44="","",IF($E44="not included",H44,VLOOKUP($E44,'DID-list_Part A'!$A$8:$L$245,4,FALSE)))</f>
        <v/>
      </c>
      <c r="L44" s="6" t="str">
        <f>IF($E44="","",IF($E44="not included",I44,VLOOKUP($E44,'DID-list_Part A'!$A$8:$L$245,7,FALSE)))</f>
        <v/>
      </c>
      <c r="M44" s="6" t="str">
        <f>IF($E44="","",IF($E44="not included",J44,VLOOKUP($E44,'DID-list_Part A'!$A$8:$L$245,11,FALSE)))</f>
        <v/>
      </c>
      <c r="N44" s="9"/>
      <c r="O44" s="7"/>
      <c r="P44" s="8"/>
      <c r="Q44" s="8"/>
    </row>
    <row r="45" spans="1:17">
      <c r="A45" s="5">
        <v>36</v>
      </c>
      <c r="B45" s="6" t="str">
        <f>IF('Ingoing substances'!B45="","",IF('Ingoing substances'!V45="No","",'Ingoing substances'!B45))</f>
        <v/>
      </c>
      <c r="C45" s="6" t="str">
        <f>IF('Ingoing substances'!C45="","",IF('Ingoing substances'!V45="No","",'Ingoing substances'!C45))</f>
        <v/>
      </c>
      <c r="D45" s="6" t="str">
        <f>IF('Ingoing substances'!G45="","",IF('Ingoing substances'!V45="No","",'Ingoing substances'!G45))</f>
        <v/>
      </c>
      <c r="E45" s="9"/>
      <c r="F45" s="6" t="str">
        <f>IF(E45="","",VLOOKUP($E45,'DID-list_Part A'!$A$8:$L$245,3,FALSE))</f>
        <v/>
      </c>
      <c r="G45" s="6">
        <f>IF('Ingoing substances'!V45="No","",'Ingoing substances'!M45)</f>
        <v>0</v>
      </c>
      <c r="H45" s="8"/>
      <c r="I45" s="8"/>
      <c r="J45" s="8"/>
      <c r="K45" s="6" t="str">
        <f>IF($E45="","",IF($E45="not included",H45,VLOOKUP($E45,'DID-list_Part A'!$A$8:$L$245,4,FALSE)))</f>
        <v/>
      </c>
      <c r="L45" s="6" t="str">
        <f>IF($E45="","",IF($E45="not included",I45,VLOOKUP($E45,'DID-list_Part A'!$A$8:$L$245,7,FALSE)))</f>
        <v/>
      </c>
      <c r="M45" s="6" t="str">
        <f>IF($E45="","",IF($E45="not included",J45,VLOOKUP($E45,'DID-list_Part A'!$A$8:$L$245,11,FALSE)))</f>
        <v/>
      </c>
      <c r="N45" s="9"/>
      <c r="O45" s="7"/>
      <c r="P45" s="8"/>
      <c r="Q45" s="8"/>
    </row>
    <row r="46" spans="1:17">
      <c r="A46" s="5">
        <v>37</v>
      </c>
      <c r="B46" s="6" t="str">
        <f>IF('Ingoing substances'!B46="","",IF('Ingoing substances'!V46="No","",'Ingoing substances'!B46))</f>
        <v/>
      </c>
      <c r="C46" s="6" t="str">
        <f>IF('Ingoing substances'!C46="","",IF('Ingoing substances'!V46="No","",'Ingoing substances'!C46))</f>
        <v/>
      </c>
      <c r="D46" s="6" t="str">
        <f>IF('Ingoing substances'!G46="","",IF('Ingoing substances'!V46="No","",'Ingoing substances'!G46))</f>
        <v/>
      </c>
      <c r="E46" s="9"/>
      <c r="F46" s="6" t="str">
        <f>IF(E46="","",VLOOKUP($E46,'DID-list_Part A'!$A$8:$L$245,3,FALSE))</f>
        <v/>
      </c>
      <c r="G46" s="6">
        <f>IF('Ingoing substances'!V46="No","",'Ingoing substances'!M46)</f>
        <v>0</v>
      </c>
      <c r="H46" s="8"/>
      <c r="I46" s="8"/>
      <c r="J46" s="8"/>
      <c r="K46" s="6" t="str">
        <f>IF($E46="","",IF($E46="not included",H46,VLOOKUP($E46,'DID-list_Part A'!$A$8:$L$245,4,FALSE)))</f>
        <v/>
      </c>
      <c r="L46" s="6" t="str">
        <f>IF($E46="","",IF($E46="not included",I46,VLOOKUP($E46,'DID-list_Part A'!$A$8:$L$245,7,FALSE)))</f>
        <v/>
      </c>
      <c r="M46" s="6" t="str">
        <f>IF($E46="","",IF($E46="not included",J46,VLOOKUP($E46,'DID-list_Part A'!$A$8:$L$245,11,FALSE)))</f>
        <v/>
      </c>
      <c r="N46" s="9"/>
      <c r="O46" s="7"/>
      <c r="P46" s="8"/>
      <c r="Q46" s="8"/>
    </row>
    <row r="47" spans="1:17">
      <c r="A47" s="5">
        <v>38</v>
      </c>
      <c r="B47" s="6" t="str">
        <f>IF('Ingoing substances'!B47="","",IF('Ingoing substances'!V47="No","",'Ingoing substances'!B47))</f>
        <v/>
      </c>
      <c r="C47" s="6" t="str">
        <f>IF('Ingoing substances'!C47="","",IF('Ingoing substances'!V47="No","",'Ingoing substances'!C47))</f>
        <v/>
      </c>
      <c r="D47" s="6" t="str">
        <f>IF('Ingoing substances'!G47="","",IF('Ingoing substances'!V47="No","",'Ingoing substances'!G47))</f>
        <v/>
      </c>
      <c r="E47" s="9"/>
      <c r="F47" s="6" t="str">
        <f>IF(E47="","",VLOOKUP($E47,'DID-list_Part A'!$A$8:$L$245,3,FALSE))</f>
        <v/>
      </c>
      <c r="G47" s="6">
        <f>IF('Ingoing substances'!V47="No","",'Ingoing substances'!M47)</f>
        <v>0</v>
      </c>
      <c r="H47" s="8"/>
      <c r="I47" s="8"/>
      <c r="J47" s="8"/>
      <c r="K47" s="6" t="str">
        <f>IF($E47="","",IF($E47="not included",H47,VLOOKUP($E47,'DID-list_Part A'!$A$8:$L$245,4,FALSE)))</f>
        <v/>
      </c>
      <c r="L47" s="6" t="str">
        <f>IF($E47="","",IF($E47="not included",I47,VLOOKUP($E47,'DID-list_Part A'!$A$8:$L$245,7,FALSE)))</f>
        <v/>
      </c>
      <c r="M47" s="6" t="str">
        <f>IF($E47="","",IF($E47="not included",J47,VLOOKUP($E47,'DID-list_Part A'!$A$8:$L$245,11,FALSE)))</f>
        <v/>
      </c>
      <c r="N47" s="9"/>
      <c r="O47" s="7"/>
      <c r="P47" s="8"/>
      <c r="Q47" s="8"/>
    </row>
    <row r="48" spans="1:17">
      <c r="A48" s="5">
        <v>39</v>
      </c>
      <c r="B48" s="6" t="str">
        <f>IF('Ingoing substances'!B48="","",IF('Ingoing substances'!V48="No","",'Ingoing substances'!B48))</f>
        <v/>
      </c>
      <c r="C48" s="6" t="str">
        <f>IF('Ingoing substances'!C48="","",IF('Ingoing substances'!V48="No","",'Ingoing substances'!C48))</f>
        <v/>
      </c>
      <c r="D48" s="6" t="str">
        <f>IF('Ingoing substances'!G48="","",IF('Ingoing substances'!V48="No","",'Ingoing substances'!G48))</f>
        <v/>
      </c>
      <c r="E48" s="9"/>
      <c r="F48" s="6" t="str">
        <f>IF(E48="","",VLOOKUP($E48,'DID-list_Part A'!$A$8:$L$245,3,FALSE))</f>
        <v/>
      </c>
      <c r="G48" s="6">
        <f>IF('Ingoing substances'!V48="No","",'Ingoing substances'!M48)</f>
        <v>0</v>
      </c>
      <c r="H48" s="8"/>
      <c r="I48" s="8"/>
      <c r="J48" s="8"/>
      <c r="K48" s="6" t="str">
        <f>IF($E48="","",IF($E48="not included",H48,VLOOKUP($E48,'DID-list_Part A'!$A$8:$L$245,4,FALSE)))</f>
        <v/>
      </c>
      <c r="L48" s="6" t="str">
        <f>IF($E48="","",IF($E48="not included",I48,VLOOKUP($E48,'DID-list_Part A'!$A$8:$L$245,7,FALSE)))</f>
        <v/>
      </c>
      <c r="M48" s="6" t="str">
        <f>IF($E48="","",IF($E48="not included",J48,VLOOKUP($E48,'DID-list_Part A'!$A$8:$L$245,11,FALSE)))</f>
        <v/>
      </c>
      <c r="N48" s="9"/>
      <c r="O48" s="7"/>
      <c r="P48" s="8"/>
      <c r="Q48" s="8"/>
    </row>
    <row r="49" spans="1:17">
      <c r="A49" s="5">
        <v>40</v>
      </c>
      <c r="B49" s="6" t="str">
        <f>IF('Ingoing substances'!B49="","",IF('Ingoing substances'!V49="No","",'Ingoing substances'!B49))</f>
        <v/>
      </c>
      <c r="C49" s="6" t="str">
        <f>IF('Ingoing substances'!C49="","",IF('Ingoing substances'!V49="No","",'Ingoing substances'!C49))</f>
        <v/>
      </c>
      <c r="D49" s="6" t="str">
        <f>IF('Ingoing substances'!G49="","",IF('Ingoing substances'!V49="No","",'Ingoing substances'!G49))</f>
        <v/>
      </c>
      <c r="E49" s="9"/>
      <c r="F49" s="6" t="str">
        <f>IF(E49="","",VLOOKUP($E49,'DID-list_Part A'!$A$8:$L$245,3,FALSE))</f>
        <v/>
      </c>
      <c r="G49" s="6">
        <f>IF('Ingoing substances'!V49="No","",'Ingoing substances'!M49)</f>
        <v>0</v>
      </c>
      <c r="H49" s="8"/>
      <c r="I49" s="8"/>
      <c r="J49" s="8"/>
      <c r="K49" s="6" t="str">
        <f>IF($E49="","",IF($E49="not included",H49,VLOOKUP($E49,'DID-list_Part A'!$A$8:$L$245,4,FALSE)))</f>
        <v/>
      </c>
      <c r="L49" s="6" t="str">
        <f>IF($E49="","",IF($E49="not included",I49,VLOOKUP($E49,'DID-list_Part A'!$A$8:$L$245,7,FALSE)))</f>
        <v/>
      </c>
      <c r="M49" s="6" t="str">
        <f>IF($E49="","",IF($E49="not included",J49,VLOOKUP($E49,'DID-list_Part A'!$A$8:$L$245,11,FALSE)))</f>
        <v/>
      </c>
      <c r="N49" s="9"/>
      <c r="O49" s="7"/>
      <c r="P49" s="8"/>
      <c r="Q49" s="8"/>
    </row>
    <row r="50" spans="1:17">
      <c r="A50" s="5">
        <v>41</v>
      </c>
      <c r="B50" s="6" t="str">
        <f>IF('Ingoing substances'!B50="","",IF('Ingoing substances'!V50="No","",'Ingoing substances'!B50))</f>
        <v/>
      </c>
      <c r="C50" s="6" t="str">
        <f>IF('Ingoing substances'!C50="","",IF('Ingoing substances'!V50="No","",'Ingoing substances'!C50))</f>
        <v/>
      </c>
      <c r="D50" s="6" t="str">
        <f>IF('Ingoing substances'!G50="","",IF('Ingoing substances'!V50="No","",'Ingoing substances'!G50))</f>
        <v/>
      </c>
      <c r="E50" s="9"/>
      <c r="F50" s="6" t="str">
        <f>IF(E50="","",VLOOKUP($E50,'DID-list_Part A'!$A$8:$L$245,3,FALSE))</f>
        <v/>
      </c>
      <c r="G50" s="6">
        <f>IF('Ingoing substances'!V50="No","",'Ingoing substances'!M50)</f>
        <v>0</v>
      </c>
      <c r="H50" s="8"/>
      <c r="I50" s="8"/>
      <c r="J50" s="8"/>
      <c r="K50" s="6" t="str">
        <f>IF($E50="","",IF($E50="not included",H50,VLOOKUP($E50,'DID-list_Part A'!$A$8:$L$245,4,FALSE)))</f>
        <v/>
      </c>
      <c r="L50" s="6" t="str">
        <f>IF($E50="","",IF($E50="not included",I50,VLOOKUP($E50,'DID-list_Part A'!$A$8:$L$245,7,FALSE)))</f>
        <v/>
      </c>
      <c r="M50" s="6" t="str">
        <f>IF($E50="","",IF($E50="not included",J50,VLOOKUP($E50,'DID-list_Part A'!$A$8:$L$245,11,FALSE)))</f>
        <v/>
      </c>
      <c r="N50" s="9"/>
      <c r="O50" s="7"/>
      <c r="P50" s="8"/>
      <c r="Q50" s="8"/>
    </row>
    <row r="51" spans="1:17">
      <c r="A51" s="5">
        <v>42</v>
      </c>
      <c r="B51" s="6" t="str">
        <f>IF('Ingoing substances'!B51="","",IF('Ingoing substances'!V51="No","",'Ingoing substances'!B51))</f>
        <v/>
      </c>
      <c r="C51" s="6" t="str">
        <f>IF('Ingoing substances'!C51="","",IF('Ingoing substances'!V51="No","",'Ingoing substances'!C51))</f>
        <v/>
      </c>
      <c r="D51" s="6" t="str">
        <f>IF('Ingoing substances'!G51="","",IF('Ingoing substances'!V51="No","",'Ingoing substances'!G51))</f>
        <v/>
      </c>
      <c r="E51" s="9"/>
      <c r="F51" s="6" t="str">
        <f>IF(E51="","",VLOOKUP($E51,'DID-list_Part A'!$A$8:$L$245,3,FALSE))</f>
        <v/>
      </c>
      <c r="G51" s="6">
        <f>IF('Ingoing substances'!V51="No","",'Ingoing substances'!M51)</f>
        <v>0</v>
      </c>
      <c r="H51" s="8"/>
      <c r="I51" s="8"/>
      <c r="J51" s="8"/>
      <c r="K51" s="6" t="str">
        <f>IF($E51="","",IF($E51="not included",H51,VLOOKUP($E51,'DID-list_Part A'!$A$8:$L$245,4,FALSE)))</f>
        <v/>
      </c>
      <c r="L51" s="6" t="str">
        <f>IF($E51="","",IF($E51="not included",I51,VLOOKUP($E51,'DID-list_Part A'!$A$8:$L$245,7,FALSE)))</f>
        <v/>
      </c>
      <c r="M51" s="6" t="str">
        <f>IF($E51="","",IF($E51="not included",J51,VLOOKUP($E51,'DID-list_Part A'!$A$8:$L$245,11,FALSE)))</f>
        <v/>
      </c>
      <c r="N51" s="9"/>
      <c r="O51" s="7"/>
      <c r="P51" s="8"/>
      <c r="Q51" s="8"/>
    </row>
    <row r="52" spans="1:17">
      <c r="A52" s="5">
        <v>43</v>
      </c>
      <c r="B52" s="6" t="str">
        <f>IF('Ingoing substances'!B52="","",IF('Ingoing substances'!V52="No","",'Ingoing substances'!B52))</f>
        <v/>
      </c>
      <c r="C52" s="6" t="str">
        <f>IF('Ingoing substances'!C52="","",IF('Ingoing substances'!V52="No","",'Ingoing substances'!C52))</f>
        <v/>
      </c>
      <c r="D52" s="6" t="str">
        <f>IF('Ingoing substances'!G52="","",IF('Ingoing substances'!V52="No","",'Ingoing substances'!G52))</f>
        <v/>
      </c>
      <c r="E52" s="9"/>
      <c r="F52" s="6" t="str">
        <f>IF(E52="","",VLOOKUP($E52,'DID-list_Part A'!$A$8:$L$245,3,FALSE))</f>
        <v/>
      </c>
      <c r="G52" s="6">
        <f>IF('Ingoing substances'!V52="No","",'Ingoing substances'!M52)</f>
        <v>0</v>
      </c>
      <c r="H52" s="8"/>
      <c r="I52" s="8"/>
      <c r="J52" s="8"/>
      <c r="K52" s="6" t="str">
        <f>IF($E52="","",IF($E52="not included",H52,VLOOKUP($E52,'DID-list_Part A'!$A$8:$L$245,4,FALSE)))</f>
        <v/>
      </c>
      <c r="L52" s="6" t="str">
        <f>IF($E52="","",IF($E52="not included",I52,VLOOKUP($E52,'DID-list_Part A'!$A$8:$L$245,7,FALSE)))</f>
        <v/>
      </c>
      <c r="M52" s="6" t="str">
        <f>IF($E52="","",IF($E52="not included",J52,VLOOKUP($E52,'DID-list_Part A'!$A$8:$L$245,11,FALSE)))</f>
        <v/>
      </c>
      <c r="N52" s="9"/>
      <c r="O52" s="7"/>
      <c r="P52" s="8"/>
      <c r="Q52" s="8"/>
    </row>
    <row r="53" spans="1:17">
      <c r="A53" s="5">
        <v>44</v>
      </c>
      <c r="B53" s="6" t="str">
        <f>IF('Ingoing substances'!B53="","",IF('Ingoing substances'!V53="No","",'Ingoing substances'!B53))</f>
        <v/>
      </c>
      <c r="C53" s="6" t="str">
        <f>IF('Ingoing substances'!C53="","",IF('Ingoing substances'!V53="No","",'Ingoing substances'!C53))</f>
        <v/>
      </c>
      <c r="D53" s="6" t="str">
        <f>IF('Ingoing substances'!G53="","",IF('Ingoing substances'!V53="No","",'Ingoing substances'!G53))</f>
        <v/>
      </c>
      <c r="E53" s="9"/>
      <c r="F53" s="6" t="str">
        <f>IF(E53="","",VLOOKUP($E53,'DID-list_Part A'!$A$8:$L$245,3,FALSE))</f>
        <v/>
      </c>
      <c r="G53" s="6">
        <f>IF('Ingoing substances'!V53="No","",'Ingoing substances'!M53)</f>
        <v>0</v>
      </c>
      <c r="H53" s="8"/>
      <c r="I53" s="8"/>
      <c r="J53" s="8"/>
      <c r="K53" s="6" t="str">
        <f>IF($E53="","",IF($E53="not included",H53,VLOOKUP($E53,'DID-list_Part A'!$A$8:$L$245,4,FALSE)))</f>
        <v/>
      </c>
      <c r="L53" s="6" t="str">
        <f>IF($E53="","",IF($E53="not included",I53,VLOOKUP($E53,'DID-list_Part A'!$A$8:$L$245,7,FALSE)))</f>
        <v/>
      </c>
      <c r="M53" s="6" t="str">
        <f>IF($E53="","",IF($E53="not included",J53,VLOOKUP($E53,'DID-list_Part A'!$A$8:$L$245,11,FALSE)))</f>
        <v/>
      </c>
      <c r="N53" s="9"/>
      <c r="O53" s="7"/>
      <c r="P53" s="8"/>
      <c r="Q53" s="8"/>
    </row>
    <row r="54" spans="1:17">
      <c r="A54" s="5">
        <v>45</v>
      </c>
      <c r="B54" s="6" t="str">
        <f>IF('Ingoing substances'!B54="","",IF('Ingoing substances'!V54="No","",'Ingoing substances'!B54))</f>
        <v/>
      </c>
      <c r="C54" s="6" t="str">
        <f>IF('Ingoing substances'!C54="","",IF('Ingoing substances'!V54="No","",'Ingoing substances'!C54))</f>
        <v/>
      </c>
      <c r="D54" s="6" t="str">
        <f>IF('Ingoing substances'!G54="","",IF('Ingoing substances'!V54="No","",'Ingoing substances'!G54))</f>
        <v/>
      </c>
      <c r="E54" s="9"/>
      <c r="F54" s="6" t="str">
        <f>IF(E54="","",VLOOKUP($E54,'DID-list_Part A'!$A$8:$L$245,3,FALSE))</f>
        <v/>
      </c>
      <c r="G54" s="6">
        <f>IF('Ingoing substances'!V54="No","",'Ingoing substances'!M54)</f>
        <v>0</v>
      </c>
      <c r="H54" s="8"/>
      <c r="I54" s="8"/>
      <c r="J54" s="8"/>
      <c r="K54" s="6" t="str">
        <f>IF($E54="","",IF($E54="not included",H54,VLOOKUP($E54,'DID-list_Part A'!$A$8:$L$245,4,FALSE)))</f>
        <v/>
      </c>
      <c r="L54" s="6" t="str">
        <f>IF($E54="","",IF($E54="not included",I54,VLOOKUP($E54,'DID-list_Part A'!$A$8:$L$245,7,FALSE)))</f>
        <v/>
      </c>
      <c r="M54" s="6" t="str">
        <f>IF($E54="","",IF($E54="not included",J54,VLOOKUP($E54,'DID-list_Part A'!$A$8:$L$245,11,FALSE)))</f>
        <v/>
      </c>
      <c r="N54" s="9"/>
      <c r="O54" s="7"/>
      <c r="P54" s="8"/>
      <c r="Q54" s="8"/>
    </row>
    <row r="55" spans="1:17">
      <c r="A55" s="5">
        <v>46</v>
      </c>
      <c r="B55" s="6" t="str">
        <f>IF('Ingoing substances'!B55="","",IF('Ingoing substances'!V55="No","",'Ingoing substances'!B55))</f>
        <v/>
      </c>
      <c r="C55" s="6" t="str">
        <f>IF('Ingoing substances'!C55="","",IF('Ingoing substances'!V55="No","",'Ingoing substances'!C55))</f>
        <v/>
      </c>
      <c r="D55" s="6" t="str">
        <f>IF('Ingoing substances'!G55="","",IF('Ingoing substances'!V55="No","",'Ingoing substances'!G55))</f>
        <v/>
      </c>
      <c r="E55" s="9"/>
      <c r="F55" s="6" t="str">
        <f>IF(E55="","",VLOOKUP($E55,'DID-list_Part A'!$A$8:$L$245,3,FALSE))</f>
        <v/>
      </c>
      <c r="G55" s="6">
        <f>IF('Ingoing substances'!V55="No","",'Ingoing substances'!M55)</f>
        <v>0</v>
      </c>
      <c r="H55" s="8"/>
      <c r="I55" s="8"/>
      <c r="J55" s="8"/>
      <c r="K55" s="6" t="str">
        <f>IF($E55="","",IF($E55="not included",H55,VLOOKUP($E55,'DID-list_Part A'!$A$8:$L$245,4,FALSE)))</f>
        <v/>
      </c>
      <c r="L55" s="6" t="str">
        <f>IF($E55="","",IF($E55="not included",I55,VLOOKUP($E55,'DID-list_Part A'!$A$8:$L$245,7,FALSE)))</f>
        <v/>
      </c>
      <c r="M55" s="6" t="str">
        <f>IF($E55="","",IF($E55="not included",J55,VLOOKUP($E55,'DID-list_Part A'!$A$8:$L$245,11,FALSE)))</f>
        <v/>
      </c>
      <c r="N55" s="9"/>
      <c r="O55" s="7"/>
      <c r="P55" s="8"/>
      <c r="Q55" s="8"/>
    </row>
    <row r="56" spans="1:17">
      <c r="A56" s="5">
        <v>47</v>
      </c>
      <c r="B56" s="6" t="str">
        <f>IF('Ingoing substances'!B56="","",IF('Ingoing substances'!V56="No","",'Ingoing substances'!B56))</f>
        <v/>
      </c>
      <c r="C56" s="6" t="str">
        <f>IF('Ingoing substances'!C56="","",IF('Ingoing substances'!V56="No","",'Ingoing substances'!C56))</f>
        <v/>
      </c>
      <c r="D56" s="6" t="str">
        <f>IF('Ingoing substances'!G56="","",IF('Ingoing substances'!V56="No","",'Ingoing substances'!G56))</f>
        <v/>
      </c>
      <c r="E56" s="9"/>
      <c r="F56" s="6" t="str">
        <f>IF(E56="","",VLOOKUP($E56,'DID-list_Part A'!$A$8:$L$245,3,FALSE))</f>
        <v/>
      </c>
      <c r="G56" s="6">
        <f>IF('Ingoing substances'!V56="No","",'Ingoing substances'!M56)</f>
        <v>0</v>
      </c>
      <c r="H56" s="8"/>
      <c r="I56" s="8"/>
      <c r="J56" s="8"/>
      <c r="K56" s="6" t="str">
        <f>IF($E56="","",IF($E56="not included",H56,VLOOKUP($E56,'DID-list_Part A'!$A$8:$L$245,4,FALSE)))</f>
        <v/>
      </c>
      <c r="L56" s="6" t="str">
        <f>IF($E56="","",IF($E56="not included",I56,VLOOKUP($E56,'DID-list_Part A'!$A$8:$L$245,7,FALSE)))</f>
        <v/>
      </c>
      <c r="M56" s="6" t="str">
        <f>IF($E56="","",IF($E56="not included",J56,VLOOKUP($E56,'DID-list_Part A'!$A$8:$L$245,11,FALSE)))</f>
        <v/>
      </c>
      <c r="N56" s="9"/>
      <c r="O56" s="7"/>
      <c r="P56" s="8"/>
      <c r="Q56" s="8"/>
    </row>
    <row r="57" spans="1:17">
      <c r="A57" s="5">
        <v>48</v>
      </c>
      <c r="B57" s="6" t="str">
        <f>IF('Ingoing substances'!B57="","",IF('Ingoing substances'!V57="No","",'Ingoing substances'!B57))</f>
        <v/>
      </c>
      <c r="C57" s="6" t="str">
        <f>IF('Ingoing substances'!C57="","",IF('Ingoing substances'!V57="No","",'Ingoing substances'!C57))</f>
        <v/>
      </c>
      <c r="D57" s="6" t="str">
        <f>IF('Ingoing substances'!G57="","",IF('Ingoing substances'!V57="No","",'Ingoing substances'!G57))</f>
        <v/>
      </c>
      <c r="E57" s="9"/>
      <c r="F57" s="6" t="str">
        <f>IF(E57="","",VLOOKUP($E57,'DID-list_Part A'!$A$8:$L$245,3,FALSE))</f>
        <v/>
      </c>
      <c r="G57" s="6">
        <f>IF('Ingoing substances'!V57="No","",'Ingoing substances'!M57)</f>
        <v>0</v>
      </c>
      <c r="H57" s="8"/>
      <c r="I57" s="8"/>
      <c r="J57" s="8"/>
      <c r="K57" s="6" t="str">
        <f>IF($E57="","",IF($E57="not included",H57,VLOOKUP($E57,'DID-list_Part A'!$A$8:$L$245,4,FALSE)))</f>
        <v/>
      </c>
      <c r="L57" s="6" t="str">
        <f>IF($E57="","",IF($E57="not included",I57,VLOOKUP($E57,'DID-list_Part A'!$A$8:$L$245,7,FALSE)))</f>
        <v/>
      </c>
      <c r="M57" s="6" t="str">
        <f>IF($E57="","",IF($E57="not included",J57,VLOOKUP($E57,'DID-list_Part A'!$A$8:$L$245,11,FALSE)))</f>
        <v/>
      </c>
      <c r="N57" s="9"/>
      <c r="O57" s="7"/>
      <c r="P57" s="8"/>
      <c r="Q57" s="8"/>
    </row>
    <row r="58" spans="1:17">
      <c r="A58" s="5">
        <v>49</v>
      </c>
      <c r="B58" s="6" t="str">
        <f>IF('Ingoing substances'!B58="","",IF('Ingoing substances'!V58="No","",'Ingoing substances'!B58))</f>
        <v/>
      </c>
      <c r="C58" s="6" t="str">
        <f>IF('Ingoing substances'!C58="","",IF('Ingoing substances'!V58="No","",'Ingoing substances'!C58))</f>
        <v/>
      </c>
      <c r="D58" s="6" t="str">
        <f>IF('Ingoing substances'!G58="","",IF('Ingoing substances'!V58="No","",'Ingoing substances'!G58))</f>
        <v/>
      </c>
      <c r="E58" s="9"/>
      <c r="F58" s="6" t="str">
        <f>IF(E58="","",VLOOKUP($E58,'DID-list_Part A'!$A$8:$L$245,3,FALSE))</f>
        <v/>
      </c>
      <c r="G58" s="6">
        <f>IF('Ingoing substances'!V58="No","",'Ingoing substances'!M58)</f>
        <v>0</v>
      </c>
      <c r="H58" s="8"/>
      <c r="I58" s="8"/>
      <c r="J58" s="8"/>
      <c r="K58" s="6" t="str">
        <f>IF($E58="","",IF($E58="not included",H58,VLOOKUP($E58,'DID-list_Part A'!$A$8:$L$245,4,FALSE)))</f>
        <v/>
      </c>
      <c r="L58" s="6" t="str">
        <f>IF($E58="","",IF($E58="not included",I58,VLOOKUP($E58,'DID-list_Part A'!$A$8:$L$245,7,FALSE)))</f>
        <v/>
      </c>
      <c r="M58" s="6" t="str">
        <f>IF($E58="","",IF($E58="not included",J58,VLOOKUP($E58,'DID-list_Part A'!$A$8:$L$245,11,FALSE)))</f>
        <v/>
      </c>
      <c r="N58" s="9"/>
      <c r="O58" s="7"/>
      <c r="P58" s="8"/>
      <c r="Q58" s="8"/>
    </row>
    <row r="59" spans="1:17">
      <c r="A59" s="5">
        <v>50</v>
      </c>
      <c r="B59" s="6" t="str">
        <f>IF('Ingoing substances'!B59="","",IF('Ingoing substances'!V59="No","",'Ingoing substances'!B59))</f>
        <v/>
      </c>
      <c r="C59" s="6" t="str">
        <f>IF('Ingoing substances'!C59="","",IF('Ingoing substances'!V59="No","",'Ingoing substances'!C59))</f>
        <v/>
      </c>
      <c r="D59" s="6" t="str">
        <f>IF('Ingoing substances'!G59="","",IF('Ingoing substances'!V59="No","",'Ingoing substances'!G59))</f>
        <v/>
      </c>
      <c r="E59" s="9"/>
      <c r="F59" s="6" t="str">
        <f>IF(E59="","",VLOOKUP($E59,'DID-list_Part A'!$A$8:$L$245,3,FALSE))</f>
        <v/>
      </c>
      <c r="G59" s="6">
        <f>IF('Ingoing substances'!V59="No","",'Ingoing substances'!M59)</f>
        <v>0</v>
      </c>
      <c r="H59" s="8"/>
      <c r="I59" s="8"/>
      <c r="J59" s="8"/>
      <c r="K59" s="6" t="str">
        <f>IF($E59="","",IF($E59="not included",H59,VLOOKUP($E59,'DID-list_Part A'!$A$8:$L$245,4,FALSE)))</f>
        <v/>
      </c>
      <c r="L59" s="6" t="str">
        <f>IF($E59="","",IF($E59="not included",I59,VLOOKUP($E59,'DID-list_Part A'!$A$8:$L$245,7,FALSE)))</f>
        <v/>
      </c>
      <c r="M59" s="6" t="str">
        <f>IF($E59="","",IF($E59="not included",J59,VLOOKUP($E59,'DID-list_Part A'!$A$8:$L$245,11,FALSE)))</f>
        <v/>
      </c>
      <c r="N59" s="237"/>
      <c r="O59" s="7"/>
      <c r="P59" s="6"/>
      <c r="Q59" s="6"/>
    </row>
    <row r="61" spans="1:17">
      <c r="B61" s="1" t="s">
        <v>31</v>
      </c>
    </row>
    <row r="62" spans="1:17">
      <c r="B62" s="304"/>
      <c r="C62" s="305"/>
      <c r="D62" s="305"/>
      <c r="E62" s="305"/>
      <c r="F62" s="305"/>
      <c r="G62" s="305"/>
      <c r="H62" s="306"/>
    </row>
    <row r="63" spans="1:17">
      <c r="B63" s="307"/>
      <c r="C63" s="308"/>
      <c r="D63" s="308"/>
      <c r="E63" s="308"/>
      <c r="F63" s="308"/>
      <c r="G63" s="308"/>
      <c r="H63" s="309"/>
    </row>
    <row r="64" spans="1:17">
      <c r="B64" s="307"/>
      <c r="C64" s="308"/>
      <c r="D64" s="308"/>
      <c r="E64" s="308"/>
      <c r="F64" s="308"/>
      <c r="G64" s="308"/>
      <c r="H64" s="309"/>
    </row>
    <row r="65" spans="2:8">
      <c r="B65" s="310"/>
      <c r="C65" s="311"/>
      <c r="D65" s="311"/>
      <c r="E65" s="311"/>
      <c r="F65" s="311"/>
      <c r="G65" s="311"/>
      <c r="H65" s="312"/>
    </row>
  </sheetData>
  <sheetProtection algorithmName="SHA-512" hashValue="AxIdEUNqbW7nUjsV9ro67L7DA5hVck4XJdPZ3Vxj9tRiRxxvEuXS+u8kvBvm2AX9tsQi4WAZBSr/Af0H901WRw==" saltValue="qAcM9ZfkyZqiXKcsLSz/lg==" spinCount="100000" sheet="1" selectLockedCells="1"/>
  <autoFilter ref="B8:B59" xr:uid="{00000000-0009-0000-0000-000004000000}"/>
  <mergeCells count="15">
    <mergeCell ref="M8:M9"/>
    <mergeCell ref="N8:N9"/>
    <mergeCell ref="P8:P9"/>
    <mergeCell ref="K8:K9"/>
    <mergeCell ref="L8:L9"/>
    <mergeCell ref="O8:O9"/>
    <mergeCell ref="B62:H65"/>
    <mergeCell ref="B1:D1"/>
    <mergeCell ref="C2:D2"/>
    <mergeCell ref="C3:D3"/>
    <mergeCell ref="C4:D4"/>
    <mergeCell ref="D8:D9"/>
    <mergeCell ref="E8:E9"/>
    <mergeCell ref="F8:F9"/>
    <mergeCell ref="H8:J8"/>
  </mergeCells>
  <conditionalFormatting sqref="H11:J59">
    <cfRule type="expression" dxfId="124" priority="13">
      <formula>$E11="not included"</formula>
    </cfRule>
  </conditionalFormatting>
  <conditionalFormatting sqref="P11:P59">
    <cfRule type="expression" dxfId="123" priority="9">
      <formula>$N11="No bioaccumulable"</formula>
    </cfRule>
  </conditionalFormatting>
  <conditionalFormatting sqref="Q11:Q59">
    <cfRule type="expression" dxfId="122" priority="8">
      <formula>$N11="No bioavailable"</formula>
    </cfRule>
  </conditionalFormatting>
  <conditionalFormatting sqref="N11:O59">
    <cfRule type="expression" dxfId="121" priority="5">
      <formula>$M11="I"</formula>
    </cfRule>
    <cfRule type="expression" dxfId="120" priority="6">
      <formula>$M11="R"</formula>
    </cfRule>
  </conditionalFormatting>
  <conditionalFormatting sqref="E3">
    <cfRule type="expression" dxfId="119" priority="4">
      <formula>$C$3="Rinse-off product"</formula>
    </cfRule>
  </conditionalFormatting>
  <dataValidations count="1">
    <dataValidation type="list" allowBlank="1" showInputMessage="1" showErrorMessage="1" sqref="J11:J59" xr:uid="{00000000-0002-0000-0400-000000000000}">
      <formula1>"R,I,P,O,NA"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'DID-list_Part A'!$A$8:$A$245</xm:f>
          </x14:formula1>
          <xm:sqref>E11:E59</xm:sqref>
        </x14:dataValidation>
        <x14:dataValidation type="list" allowBlank="1" showInputMessage="1" showErrorMessage="1" xr:uid="{00000000-0002-0000-0400-000002000000}">
          <x14:formula1>
            <xm:f>Hoja2!$B$45:$B$46</xm:f>
          </x14:formula1>
          <xm:sqref>N11:N59</xm:sqref>
        </x14:dataValidation>
        <x14:dataValidation type="list" allowBlank="1" showInputMessage="1" showErrorMessage="1" xr:uid="{00000000-0002-0000-0400-000003000000}">
          <x14:formula1>
            <xm:f>Hoja2!$B$25:$B$28</xm:f>
          </x14:formula1>
          <xm:sqref>O11:O59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1">
    <outlinePr showOutlineSymbols="0"/>
  </sheetPr>
  <dimension ref="A1:L68"/>
  <sheetViews>
    <sheetView showOutlineSymbols="0" zoomScaleNormal="100" workbookViewId="0">
      <selection activeCell="B65" sqref="B65:H68"/>
    </sheetView>
  </sheetViews>
  <sheetFormatPr defaultColWidth="11.44140625" defaultRowHeight="13.2"/>
  <cols>
    <col min="1" max="1" width="5.44140625" style="1" customWidth="1"/>
    <col min="2" max="2" width="30.6640625" style="1" customWidth="1"/>
    <col min="3" max="3" width="20.33203125" style="1" bestFit="1" customWidth="1"/>
    <col min="4" max="4" width="20.6640625" style="1" customWidth="1"/>
    <col min="5" max="5" width="21.88671875" style="1" customWidth="1"/>
    <col min="6" max="6" width="23" style="1" customWidth="1"/>
    <col min="7" max="7" width="20.6640625" style="1" customWidth="1"/>
    <col min="8" max="9" width="21.88671875" style="1" customWidth="1"/>
    <col min="10" max="10" width="23" style="1" customWidth="1"/>
    <col min="11" max="12" width="12.109375" style="1" customWidth="1"/>
    <col min="13" max="16384" width="11.44140625" style="1"/>
  </cols>
  <sheetData>
    <row r="1" spans="1:12">
      <c r="B1" s="314" t="s">
        <v>42</v>
      </c>
      <c r="C1" s="315"/>
      <c r="D1" s="315"/>
      <c r="E1" s="104"/>
    </row>
    <row r="2" spans="1:12">
      <c r="B2" s="102" t="s">
        <v>26</v>
      </c>
      <c r="C2" s="327" t="str">
        <f>'Product formulation'!C2</f>
        <v/>
      </c>
      <c r="D2" s="327"/>
      <c r="E2" s="24"/>
    </row>
    <row r="3" spans="1:12">
      <c r="B3" s="102" t="s">
        <v>4</v>
      </c>
      <c r="C3" s="327" t="str">
        <f>'Product formulation'!C3</f>
        <v/>
      </c>
      <c r="D3" s="327"/>
      <c r="E3" s="24"/>
    </row>
    <row r="4" spans="1:12">
      <c r="B4" s="103" t="s">
        <v>27</v>
      </c>
      <c r="C4" s="328" t="str">
        <f>'Product formulation'!C4</f>
        <v/>
      </c>
      <c r="D4" s="328"/>
      <c r="E4" s="24"/>
    </row>
    <row r="6" spans="1:12" s="193" customFormat="1" ht="15.6">
      <c r="A6" s="193" t="s">
        <v>71</v>
      </c>
    </row>
    <row r="7" spans="1:12">
      <c r="C7" s="56"/>
    </row>
    <row r="8" spans="1:12" s="2" customFormat="1" ht="26.4">
      <c r="A8" s="4"/>
      <c r="B8" s="239" t="s">
        <v>43</v>
      </c>
      <c r="C8" s="189" t="s">
        <v>49</v>
      </c>
      <c r="D8" s="189" t="s">
        <v>72</v>
      </c>
      <c r="E8" s="189" t="s">
        <v>74</v>
      </c>
      <c r="F8" s="189" t="s">
        <v>78</v>
      </c>
      <c r="G8" s="189" t="s">
        <v>80</v>
      </c>
      <c r="H8" s="189" t="s">
        <v>81</v>
      </c>
      <c r="I8" s="189" t="s">
        <v>82</v>
      </c>
      <c r="J8" s="189" t="s">
        <v>84</v>
      </c>
      <c r="K8" s="1"/>
      <c r="L8" s="1"/>
    </row>
    <row r="9" spans="1:12" s="2" customFormat="1" ht="26.4">
      <c r="A9" s="4"/>
      <c r="B9" s="240" t="s">
        <v>0</v>
      </c>
      <c r="C9" s="194" t="s">
        <v>37</v>
      </c>
      <c r="D9" s="194" t="s">
        <v>73</v>
      </c>
      <c r="E9" s="194" t="s">
        <v>75</v>
      </c>
      <c r="F9" s="194" t="s">
        <v>79</v>
      </c>
      <c r="G9" s="194" t="s">
        <v>73</v>
      </c>
      <c r="H9" s="194" t="s">
        <v>75</v>
      </c>
      <c r="I9" s="194" t="s">
        <v>83</v>
      </c>
      <c r="J9" s="194" t="s">
        <v>83</v>
      </c>
      <c r="K9" s="1"/>
      <c r="L9" s="1"/>
    </row>
    <row r="10" spans="1:12">
      <c r="A10" s="5">
        <v>1</v>
      </c>
      <c r="B10" s="15" t="s">
        <v>29</v>
      </c>
      <c r="C10" s="15">
        <f>'Rinse-off - DID'!G10</f>
        <v>0</v>
      </c>
      <c r="D10" s="15"/>
      <c r="E10" s="6"/>
      <c r="F10" s="15"/>
      <c r="G10" s="15"/>
      <c r="H10" s="6"/>
      <c r="I10" s="6"/>
      <c r="J10" s="15"/>
    </row>
    <row r="11" spans="1:12">
      <c r="A11" s="5">
        <v>2</v>
      </c>
      <c r="B11" s="6" t="str">
        <f>'Rinse-off - DID'!B11</f>
        <v/>
      </c>
      <c r="C11" s="15" t="str">
        <f>IF(B11="","",'Rinse-off - DID'!G11)</f>
        <v/>
      </c>
      <c r="D11" s="6" t="str">
        <f>IF(B11="","",IF('Ingoing substances'!V11="Yes",C11,""))</f>
        <v/>
      </c>
      <c r="E11" s="16" t="str">
        <f>IF(B11="","",C11*'Rinse-off - DID'!L11*1000/'Rinse-off - DID'!M11)</f>
        <v/>
      </c>
      <c r="F11" s="16" t="str">
        <f>IF(B11="","",E11/$D$60)</f>
        <v/>
      </c>
      <c r="G11" s="16" t="str">
        <f>IF(OR('Ingoing substances'!I11="N",'Rinse-off - DID'!N11="R"),"",'Results 1&amp;2'!C11)</f>
        <v/>
      </c>
      <c r="H11" s="16" t="str">
        <f>IF(OR('Ingoing substances'!I11="N",'Rinse-off - DID'!O11="Y"),"",D11)</f>
        <v/>
      </c>
      <c r="I11" s="16" t="str">
        <f>IF(C11="","",(IF(OR('Ingoing substances'!V11="No",'Rinse-off - DID'!N11="R"),"",C11*1000/$D$60)))</f>
        <v/>
      </c>
      <c r="J11" s="16" t="str">
        <f>IF(C11="","",(IF(OR('Ingoing substances'!V11="No",'Rinse-off - DID'!O11="Y",'Rinse-off - DID'!Q11="Y"),"",C11*1000/$D$60)))</f>
        <v/>
      </c>
    </row>
    <row r="12" spans="1:12">
      <c r="A12" s="5">
        <v>3</v>
      </c>
      <c r="B12" s="6" t="str">
        <f>'Rinse-off - DID'!B12</f>
        <v/>
      </c>
      <c r="C12" s="15" t="str">
        <f>IF(B12="","",'Rinse-off - DID'!G12)</f>
        <v/>
      </c>
      <c r="D12" s="6" t="str">
        <f>IF(B12="","",IF('Ingoing substances'!V12="Yes",C12,""))</f>
        <v/>
      </c>
      <c r="E12" s="16" t="str">
        <f>IF(B12="","",C12*'Rinse-off - DID'!L12*1000/'Rinse-off - DID'!M12)</f>
        <v/>
      </c>
      <c r="F12" s="16" t="str">
        <f t="shared" ref="F12:F59" si="0">IF(B12="","",E12/$D$60)</f>
        <v/>
      </c>
      <c r="G12" s="16" t="str">
        <f>IF(OR('Ingoing substances'!I12="N",'Rinse-off - DID'!N12="R"),"",'Results 1&amp;2'!C12)</f>
        <v/>
      </c>
      <c r="H12" s="16" t="str">
        <f>IF(OR('Ingoing substances'!I12="N",'Rinse-off - DID'!O12="Y"),"",D12)</f>
        <v/>
      </c>
      <c r="I12" s="16" t="str">
        <f>IF(C12="","",(IF(OR('Ingoing substances'!V12="No",'Rinse-off - DID'!N12="R"),"",C12*1000/$D$60)))</f>
        <v/>
      </c>
      <c r="J12" s="16" t="str">
        <f>IF(C12="","",(IF(OR('Ingoing substances'!V12="No",'Rinse-off - DID'!O12="Y",'Rinse-off - DID'!Q12="Y"),"",C12*1000/$D$60)))</f>
        <v/>
      </c>
    </row>
    <row r="13" spans="1:12">
      <c r="A13" s="5">
        <v>4</v>
      </c>
      <c r="B13" s="6" t="str">
        <f>'Rinse-off - DID'!B13</f>
        <v/>
      </c>
      <c r="C13" s="15" t="str">
        <f>IF(B13="","",'Rinse-off - DID'!G13)</f>
        <v/>
      </c>
      <c r="D13" s="6" t="str">
        <f>IF(B13="","",IF('Ingoing substances'!V13="Yes",C13,""))</f>
        <v/>
      </c>
      <c r="E13" s="16" t="str">
        <f>IF(B13="","",C13*'Rinse-off - DID'!L13*1000/'Rinse-off - DID'!M13)</f>
        <v/>
      </c>
      <c r="F13" s="16" t="str">
        <f t="shared" si="0"/>
        <v/>
      </c>
      <c r="G13" s="16" t="str">
        <f>IF(OR('Ingoing substances'!I13="N",'Rinse-off - DID'!N13="R"),"",'Results 1&amp;2'!C13)</f>
        <v/>
      </c>
      <c r="H13" s="16" t="str">
        <f>IF(OR('Ingoing substances'!I13="N",'Rinse-off - DID'!O13="Y"),"",D13)</f>
        <v/>
      </c>
      <c r="I13" s="16" t="str">
        <f>IF(C13="","",(IF(OR('Ingoing substances'!V13="No",'Rinse-off - DID'!N13="R"),"",C13*1000/$D$60)))</f>
        <v/>
      </c>
      <c r="J13" s="16" t="str">
        <f>IF(C13="","",(IF(OR('Ingoing substances'!V13="No",'Rinse-off - DID'!O13="Y",'Rinse-off - DID'!Q13="Y"),"",C13*1000/$D$60)))</f>
        <v/>
      </c>
    </row>
    <row r="14" spans="1:12">
      <c r="A14" s="5">
        <v>5</v>
      </c>
      <c r="B14" s="6" t="str">
        <f>'Rinse-off - DID'!B14</f>
        <v/>
      </c>
      <c r="C14" s="15" t="str">
        <f>IF(B14="","",'Rinse-off - DID'!G14)</f>
        <v/>
      </c>
      <c r="D14" s="6" t="str">
        <f>IF(B14="","",IF('Ingoing substances'!V14="Yes",C14,""))</f>
        <v/>
      </c>
      <c r="E14" s="16" t="str">
        <f>IF(B14="","",C14*'Rinse-off - DID'!L14*1000/'Rinse-off - DID'!M14)</f>
        <v/>
      </c>
      <c r="F14" s="16" t="str">
        <f t="shared" si="0"/>
        <v/>
      </c>
      <c r="G14" s="16" t="str">
        <f>IF(OR('Ingoing substances'!I14="N",'Rinse-off - DID'!N14="R"),"",'Results 1&amp;2'!C14)</f>
        <v/>
      </c>
      <c r="H14" s="16" t="str">
        <f>IF(OR('Ingoing substances'!I14="N",'Rinse-off - DID'!O14="Y"),"",D14)</f>
        <v/>
      </c>
      <c r="I14" s="16" t="str">
        <f>IF(C14="","",(IF(OR('Ingoing substances'!V14="No",'Rinse-off - DID'!N14="R"),"",C14*1000/$D$60)))</f>
        <v/>
      </c>
      <c r="J14" s="16" t="str">
        <f>IF(C14="","",(IF(OR('Ingoing substances'!V14="No",'Rinse-off - DID'!O14="Y",'Rinse-off - DID'!Q14="Y"),"",C14*1000/$D$60)))</f>
        <v/>
      </c>
    </row>
    <row r="15" spans="1:12">
      <c r="A15" s="5">
        <v>6</v>
      </c>
      <c r="B15" s="6" t="str">
        <f>'Rinse-off - DID'!B15</f>
        <v/>
      </c>
      <c r="C15" s="15" t="str">
        <f>IF(B15="","",'Rinse-off - DID'!G15)</f>
        <v/>
      </c>
      <c r="D15" s="6" t="str">
        <f>IF(B15="","",IF('Ingoing substances'!V15="Yes",C15,""))</f>
        <v/>
      </c>
      <c r="E15" s="16" t="str">
        <f>IF(B15="","",C15*'Rinse-off - DID'!L15*1000/'Rinse-off - DID'!M15)</f>
        <v/>
      </c>
      <c r="F15" s="16" t="str">
        <f t="shared" si="0"/>
        <v/>
      </c>
      <c r="G15" s="16" t="str">
        <f>IF(OR('Ingoing substances'!I15="N",'Rinse-off - DID'!N15="R"),"",'Results 1&amp;2'!C15)</f>
        <v/>
      </c>
      <c r="H15" s="16" t="str">
        <f>IF(OR('Ingoing substances'!I15="N",'Rinse-off - DID'!O15="Y"),"",D15)</f>
        <v/>
      </c>
      <c r="I15" s="16" t="str">
        <f>IF(C15="","",(IF(OR('Ingoing substances'!V15="No",'Rinse-off - DID'!N15="R"),"",C15*1000/$D$60)))</f>
        <v/>
      </c>
      <c r="J15" s="16" t="str">
        <f>IF(C15="","",(IF(OR('Ingoing substances'!V15="No",'Rinse-off - DID'!O15="Y",'Rinse-off - DID'!Q15="Y"),"",C15*1000/$D$60)))</f>
        <v/>
      </c>
    </row>
    <row r="16" spans="1:12">
      <c r="A16" s="5">
        <v>7</v>
      </c>
      <c r="B16" s="6" t="str">
        <f>'Rinse-off - DID'!B16</f>
        <v/>
      </c>
      <c r="C16" s="15" t="str">
        <f>IF(B16="","",'Rinse-off - DID'!G16)</f>
        <v/>
      </c>
      <c r="D16" s="6" t="str">
        <f>IF(B16="","",IF('Ingoing substances'!V16="Yes",C16,""))</f>
        <v/>
      </c>
      <c r="E16" s="16" t="str">
        <f>IF(B16="","",C16*'Rinse-off - DID'!L16*1000/'Rinse-off - DID'!M16)</f>
        <v/>
      </c>
      <c r="F16" s="16" t="str">
        <f t="shared" si="0"/>
        <v/>
      </c>
      <c r="G16" s="16" t="str">
        <f>IF(OR('Ingoing substances'!I16="N",'Rinse-off - DID'!N16="R"),"",'Results 1&amp;2'!C16)</f>
        <v/>
      </c>
      <c r="H16" s="16" t="str">
        <f>IF(OR('Ingoing substances'!I16="N",'Rinse-off - DID'!O16="Y"),"",D16)</f>
        <v/>
      </c>
      <c r="I16" s="16" t="str">
        <f>IF(C16="","",(IF(OR('Ingoing substances'!V16="No",'Rinse-off - DID'!N16="R"),"",C16*1000/$D$60)))</f>
        <v/>
      </c>
      <c r="J16" s="16" t="str">
        <f>IF(C16="","",(IF(OR('Ingoing substances'!V16="No",'Rinse-off - DID'!O16="Y",'Rinse-off - DID'!Q16="Y"),"",C16*1000/$D$60)))</f>
        <v/>
      </c>
    </row>
    <row r="17" spans="1:10">
      <c r="A17" s="5">
        <v>8</v>
      </c>
      <c r="B17" s="6" t="str">
        <f>'Rinse-off - DID'!B17</f>
        <v/>
      </c>
      <c r="C17" s="15" t="str">
        <f>IF(B17="","",'Rinse-off - DID'!G17)</f>
        <v/>
      </c>
      <c r="D17" s="6" t="str">
        <f>IF(B17="","",IF('Ingoing substances'!V17="Yes",C17,""))</f>
        <v/>
      </c>
      <c r="E17" s="16" t="str">
        <f>IF(B17="","",C17*'Rinse-off - DID'!L17*1000/'Rinse-off - DID'!M17)</f>
        <v/>
      </c>
      <c r="F17" s="16" t="str">
        <f t="shared" si="0"/>
        <v/>
      </c>
      <c r="G17" s="16" t="str">
        <f>IF(OR('Ingoing substances'!I17="N",'Rinse-off - DID'!N17="R"),"",'Results 1&amp;2'!C17)</f>
        <v/>
      </c>
      <c r="H17" s="16" t="str">
        <f>IF(OR('Ingoing substances'!I17="N",'Rinse-off - DID'!O17="Y"),"",D17)</f>
        <v/>
      </c>
      <c r="I17" s="16" t="str">
        <f>IF(C17="","",(IF(OR('Ingoing substances'!V17="No",'Rinse-off - DID'!N17="R"),"",C17*1000/$D$60)))</f>
        <v/>
      </c>
      <c r="J17" s="16" t="str">
        <f>IF(C17="","",(IF(OR('Ingoing substances'!V17="No",'Rinse-off - DID'!O17="Y",'Rinse-off - DID'!Q17="Y"),"",C17*1000/$D$60)))</f>
        <v/>
      </c>
    </row>
    <row r="18" spans="1:10">
      <c r="A18" s="5">
        <v>9</v>
      </c>
      <c r="B18" s="6" t="str">
        <f>'Rinse-off - DID'!B18</f>
        <v/>
      </c>
      <c r="C18" s="15" t="str">
        <f>IF(B18="","",'Rinse-off - DID'!G18)</f>
        <v/>
      </c>
      <c r="D18" s="6" t="str">
        <f>IF(B18="","",IF('Ingoing substances'!V18="Yes",C18,""))</f>
        <v/>
      </c>
      <c r="E18" s="16" t="str">
        <f>IF(B18="","",C18*'Rinse-off - DID'!L18*1000/'Rinse-off - DID'!M18)</f>
        <v/>
      </c>
      <c r="F18" s="16" t="str">
        <f t="shared" si="0"/>
        <v/>
      </c>
      <c r="G18" s="16" t="str">
        <f>IF(OR('Ingoing substances'!I18="N",'Rinse-off - DID'!N18="R"),"",'Results 1&amp;2'!C18)</f>
        <v/>
      </c>
      <c r="H18" s="16" t="str">
        <f>IF(OR('Ingoing substances'!I18="N",'Rinse-off - DID'!O18="Y"),"",D18)</f>
        <v/>
      </c>
      <c r="I18" s="16" t="str">
        <f>IF(C18="","",(IF(OR('Ingoing substances'!V18="No",'Rinse-off - DID'!N18="R"),"",C18*1000/$D$60)))</f>
        <v/>
      </c>
      <c r="J18" s="16" t="str">
        <f>IF(C18="","",(IF(OR('Ingoing substances'!V18="No",'Rinse-off - DID'!O18="Y",'Rinse-off - DID'!Q18="Y"),"",C18*1000/$D$60)))</f>
        <v/>
      </c>
    </row>
    <row r="19" spans="1:10">
      <c r="A19" s="5">
        <v>10</v>
      </c>
      <c r="B19" s="6" t="str">
        <f>'Rinse-off - DID'!B19</f>
        <v/>
      </c>
      <c r="C19" s="15" t="str">
        <f>IF(B19="","",'Rinse-off - DID'!G19)</f>
        <v/>
      </c>
      <c r="D19" s="6" t="str">
        <f>IF(B19="","",IF('Ingoing substances'!V19="Yes",C19,""))</f>
        <v/>
      </c>
      <c r="E19" s="16" t="str">
        <f>IF(B19="","",C19*'Rinse-off - DID'!L19*1000/'Rinse-off - DID'!M19)</f>
        <v/>
      </c>
      <c r="F19" s="16" t="str">
        <f t="shared" si="0"/>
        <v/>
      </c>
      <c r="G19" s="16" t="str">
        <f>IF(OR('Ingoing substances'!I19="N",'Rinse-off - DID'!N19="R"),"",'Results 1&amp;2'!C19)</f>
        <v/>
      </c>
      <c r="H19" s="16" t="str">
        <f>IF(OR('Ingoing substances'!I19="N",'Rinse-off - DID'!O19="Y"),"",D19)</f>
        <v/>
      </c>
      <c r="I19" s="16" t="str">
        <f>IF(C19="","",(IF(OR('Ingoing substances'!V19="No",'Rinse-off - DID'!N19="R"),"",C19*1000/$D$60)))</f>
        <v/>
      </c>
      <c r="J19" s="16" t="str">
        <f>IF(C19="","",(IF(OR('Ingoing substances'!V19="No",'Rinse-off - DID'!O19="Y",'Rinse-off - DID'!Q19="Y"),"",C19*1000/$D$60)))</f>
        <v/>
      </c>
    </row>
    <row r="20" spans="1:10">
      <c r="A20" s="5">
        <v>11</v>
      </c>
      <c r="B20" s="6" t="str">
        <f>'Rinse-off - DID'!B20</f>
        <v/>
      </c>
      <c r="C20" s="15" t="str">
        <f>IF(B20="","",'Rinse-off - DID'!G20)</f>
        <v/>
      </c>
      <c r="D20" s="6" t="str">
        <f>IF(B20="","",IF('Ingoing substances'!V20="Yes",C20,""))</f>
        <v/>
      </c>
      <c r="E20" s="16" t="str">
        <f>IF(B20="","",C20*'Rinse-off - DID'!L20*1000/'Rinse-off - DID'!M20)</f>
        <v/>
      </c>
      <c r="F20" s="16" t="str">
        <f t="shared" si="0"/>
        <v/>
      </c>
      <c r="G20" s="16" t="str">
        <f>IF(OR('Ingoing substances'!I20="N",'Rinse-off - DID'!N20="R"),"",'Results 1&amp;2'!C20)</f>
        <v/>
      </c>
      <c r="H20" s="16" t="str">
        <f>IF(OR('Ingoing substances'!I20="N",'Rinse-off - DID'!O20="Y"),"",D20)</f>
        <v/>
      </c>
      <c r="I20" s="16" t="str">
        <f>IF(C20="","",(IF(OR('Ingoing substances'!V20="No",'Rinse-off - DID'!N20="R"),"",C20*1000/$D$60)))</f>
        <v/>
      </c>
      <c r="J20" s="16" t="str">
        <f>IF(C20="","",(IF(OR('Ingoing substances'!V20="No",'Rinse-off - DID'!O20="Y",'Rinse-off - DID'!Q20="Y"),"",C20*1000/$D$60)))</f>
        <v/>
      </c>
    </row>
    <row r="21" spans="1:10">
      <c r="A21" s="5">
        <v>12</v>
      </c>
      <c r="B21" s="6" t="str">
        <f>'Rinse-off - DID'!B21</f>
        <v/>
      </c>
      <c r="C21" s="15" t="str">
        <f>IF(B21="","",'Rinse-off - DID'!G21)</f>
        <v/>
      </c>
      <c r="D21" s="6" t="str">
        <f>IF(B21="","",IF('Ingoing substances'!V21="Yes",C21,""))</f>
        <v/>
      </c>
      <c r="E21" s="16" t="str">
        <f>IF(B21="","",C21*'Rinse-off - DID'!L21*1000/'Rinse-off - DID'!M21)</f>
        <v/>
      </c>
      <c r="F21" s="16" t="str">
        <f t="shared" si="0"/>
        <v/>
      </c>
      <c r="G21" s="16" t="str">
        <f>IF(OR('Ingoing substances'!I21="N",'Rinse-off - DID'!N21="R"),"",'Results 1&amp;2'!C21)</f>
        <v/>
      </c>
      <c r="H21" s="16" t="str">
        <f>IF(OR('Ingoing substances'!I21="N",'Rinse-off - DID'!O21="Y"),"",D21)</f>
        <v/>
      </c>
      <c r="I21" s="16" t="str">
        <f>IF(C21="","",(IF(OR('Ingoing substances'!V21="No",'Rinse-off - DID'!N21="R"),"",C21*1000/$D$60)))</f>
        <v/>
      </c>
      <c r="J21" s="16" t="str">
        <f>IF(C21="","",(IF(OR('Ingoing substances'!V21="No",'Rinse-off - DID'!O21="Y",'Rinse-off - DID'!Q21="Y"),"",C21*1000/$D$60)))</f>
        <v/>
      </c>
    </row>
    <row r="22" spans="1:10">
      <c r="A22" s="5">
        <v>13</v>
      </c>
      <c r="B22" s="6" t="str">
        <f>'Rinse-off - DID'!B22</f>
        <v/>
      </c>
      <c r="C22" s="15" t="str">
        <f>IF(B22="","",'Rinse-off - DID'!G22)</f>
        <v/>
      </c>
      <c r="D22" s="6" t="str">
        <f>IF(B22="","",IF('Ingoing substances'!V22="Yes",C22,""))</f>
        <v/>
      </c>
      <c r="E22" s="16" t="str">
        <f>IF(B22="","",C22*'Rinse-off - DID'!L22*1000/'Rinse-off - DID'!M22)</f>
        <v/>
      </c>
      <c r="F22" s="16" t="str">
        <f t="shared" si="0"/>
        <v/>
      </c>
      <c r="G22" s="16" t="str">
        <f>IF(OR('Ingoing substances'!I22="N",'Rinse-off - DID'!N22="R"),"",'Results 1&amp;2'!C22)</f>
        <v/>
      </c>
      <c r="H22" s="16" t="str">
        <f>IF(OR('Ingoing substances'!I22="N",'Rinse-off - DID'!O22="Y"),"",D22)</f>
        <v/>
      </c>
      <c r="I22" s="16" t="str">
        <f>IF(C22="","",(IF(OR('Ingoing substances'!V22="No",'Rinse-off - DID'!N22="R"),"",C22*1000/$D$60)))</f>
        <v/>
      </c>
      <c r="J22" s="16" t="str">
        <f>IF(C22="","",(IF(OR('Ingoing substances'!V22="No",'Rinse-off - DID'!O22="Y",'Rinse-off - DID'!Q22="Y"),"",C22*1000/$D$60)))</f>
        <v/>
      </c>
    </row>
    <row r="23" spans="1:10">
      <c r="A23" s="5">
        <v>14</v>
      </c>
      <c r="B23" s="6" t="str">
        <f>'Rinse-off - DID'!B23</f>
        <v/>
      </c>
      <c r="C23" s="15" t="str">
        <f>IF(B23="","",'Rinse-off - DID'!G23)</f>
        <v/>
      </c>
      <c r="D23" s="6" t="str">
        <f>IF(B23="","",IF('Ingoing substances'!V23="Yes",C23,""))</f>
        <v/>
      </c>
      <c r="E23" s="16" t="str">
        <f>IF(B23="","",C23*'Rinse-off - DID'!L23*1000/'Rinse-off - DID'!M23)</f>
        <v/>
      </c>
      <c r="F23" s="16" t="str">
        <f t="shared" si="0"/>
        <v/>
      </c>
      <c r="G23" s="16" t="str">
        <f>IF(OR('Ingoing substances'!I23="N",'Rinse-off - DID'!N23="R"),"",'Results 1&amp;2'!C23)</f>
        <v/>
      </c>
      <c r="H23" s="16" t="str">
        <f>IF(OR('Ingoing substances'!I23="N",'Rinse-off - DID'!O23="Y"),"",D23)</f>
        <v/>
      </c>
      <c r="I23" s="16" t="str">
        <f>IF(C23="","",(IF(OR('Ingoing substances'!V23="No",'Rinse-off - DID'!N23="R"),"",C23*1000/$D$60)))</f>
        <v/>
      </c>
      <c r="J23" s="16" t="str">
        <f>IF(C23="","",(IF(OR('Ingoing substances'!V23="No",'Rinse-off - DID'!O23="Y",'Rinse-off - DID'!Q23="Y"),"",C23*1000/$D$60)))</f>
        <v/>
      </c>
    </row>
    <row r="24" spans="1:10">
      <c r="A24" s="5">
        <v>15</v>
      </c>
      <c r="B24" s="6" t="str">
        <f>'Rinse-off - DID'!B24</f>
        <v/>
      </c>
      <c r="C24" s="15" t="str">
        <f>IF(B24="","",'Rinse-off - DID'!G24)</f>
        <v/>
      </c>
      <c r="D24" s="6" t="str">
        <f>IF(B24="","",IF('Ingoing substances'!V24="Yes",C24,""))</f>
        <v/>
      </c>
      <c r="E24" s="16" t="str">
        <f>IF(B24="","",C24*'Rinse-off - DID'!L24*1000/'Rinse-off - DID'!M24)</f>
        <v/>
      </c>
      <c r="F24" s="16" t="str">
        <f t="shared" si="0"/>
        <v/>
      </c>
      <c r="G24" s="16" t="str">
        <f>IF(OR('Ingoing substances'!I24="N",'Rinse-off - DID'!N24="R"),"",'Results 1&amp;2'!C24)</f>
        <v/>
      </c>
      <c r="H24" s="16" t="str">
        <f>IF(OR('Ingoing substances'!I24="N",'Rinse-off - DID'!O24="Y"),"",D24)</f>
        <v/>
      </c>
      <c r="I24" s="16" t="str">
        <f>IF(C24="","",(IF(OR('Ingoing substances'!V24="No",'Rinse-off - DID'!N24="R"),"",C24*1000/$D$60)))</f>
        <v/>
      </c>
      <c r="J24" s="16" t="str">
        <f>IF(C24="","",(IF(OR('Ingoing substances'!V24="No",'Rinse-off - DID'!O24="Y",'Rinse-off - DID'!Q24="Y"),"",C24*1000/$D$60)))</f>
        <v/>
      </c>
    </row>
    <row r="25" spans="1:10">
      <c r="A25" s="5">
        <v>16</v>
      </c>
      <c r="B25" s="6" t="str">
        <f>'Rinse-off - DID'!B25</f>
        <v/>
      </c>
      <c r="C25" s="15" t="str">
        <f>IF(B25="","",'Rinse-off - DID'!G25)</f>
        <v/>
      </c>
      <c r="D25" s="6" t="str">
        <f>IF(B25="","",IF('Ingoing substances'!V25="Yes",C25,""))</f>
        <v/>
      </c>
      <c r="E25" s="16" t="str">
        <f>IF(B25="","",C25*'Rinse-off - DID'!L25*1000/'Rinse-off - DID'!M25)</f>
        <v/>
      </c>
      <c r="F25" s="16" t="str">
        <f t="shared" si="0"/>
        <v/>
      </c>
      <c r="G25" s="16" t="str">
        <f>IF(OR('Ingoing substances'!I25="N",'Rinse-off - DID'!N25="R"),"",'Results 1&amp;2'!C25)</f>
        <v/>
      </c>
      <c r="H25" s="16" t="str">
        <f>IF(OR('Ingoing substances'!I25="N",'Rinse-off - DID'!O25="Y"),"",D25)</f>
        <v/>
      </c>
      <c r="I25" s="16" t="str">
        <f>IF(C25="","",(IF(OR('Ingoing substances'!V25="No",'Rinse-off - DID'!N25="R"),"",C25*1000/$D$60)))</f>
        <v/>
      </c>
      <c r="J25" s="16" t="str">
        <f>IF(C25="","",(IF(OR('Ingoing substances'!V25="No",'Rinse-off - DID'!O25="Y",'Rinse-off - DID'!Q25="Y"),"",C25*1000/$D$60)))</f>
        <v/>
      </c>
    </row>
    <row r="26" spans="1:10">
      <c r="A26" s="5">
        <v>17</v>
      </c>
      <c r="B26" s="6" t="str">
        <f>'Rinse-off - DID'!B26</f>
        <v/>
      </c>
      <c r="C26" s="15" t="str">
        <f>IF(B26="","",'Rinse-off - DID'!G26)</f>
        <v/>
      </c>
      <c r="D26" s="6" t="str">
        <f>IF(B26="","",IF('Ingoing substances'!V26="Yes",C26,""))</f>
        <v/>
      </c>
      <c r="E26" s="16" t="str">
        <f>IF(B26="","",C26*'Rinse-off - DID'!L26*1000/'Rinse-off - DID'!M26)</f>
        <v/>
      </c>
      <c r="F26" s="16" t="str">
        <f t="shared" si="0"/>
        <v/>
      </c>
      <c r="G26" s="16" t="str">
        <f>IF(OR('Ingoing substances'!I26="N",'Rinse-off - DID'!N26="R"),"",'Results 1&amp;2'!C26)</f>
        <v/>
      </c>
      <c r="H26" s="16" t="str">
        <f>IF(OR('Ingoing substances'!I26="N",'Rinse-off - DID'!O26="Y"),"",D26)</f>
        <v/>
      </c>
      <c r="I26" s="16" t="str">
        <f>IF(C26="","",(IF(OR('Ingoing substances'!V26="No",'Rinse-off - DID'!N26="R"),"",C26*1000/$D$60)))</f>
        <v/>
      </c>
      <c r="J26" s="16" t="str">
        <f>IF(C26="","",(IF(OR('Ingoing substances'!V26="No",'Rinse-off - DID'!O26="Y",'Rinse-off - DID'!Q26="Y"),"",C26*1000/$D$60)))</f>
        <v/>
      </c>
    </row>
    <row r="27" spans="1:10">
      <c r="A27" s="5">
        <v>18</v>
      </c>
      <c r="B27" s="6" t="str">
        <f>'Rinse-off - DID'!B27</f>
        <v/>
      </c>
      <c r="C27" s="15" t="str">
        <f>IF(B27="","",'Rinse-off - DID'!G27)</f>
        <v/>
      </c>
      <c r="D27" s="6" t="str">
        <f>IF(B27="","",IF('Ingoing substances'!V27="Yes",C27,""))</f>
        <v/>
      </c>
      <c r="E27" s="16" t="str">
        <f>IF(B27="","",C27*'Rinse-off - DID'!L27*1000/'Rinse-off - DID'!M27)</f>
        <v/>
      </c>
      <c r="F27" s="16" t="str">
        <f t="shared" si="0"/>
        <v/>
      </c>
      <c r="G27" s="16" t="str">
        <f>IF(OR('Ingoing substances'!I27="N",'Rinse-off - DID'!N27="R"),"",'Results 1&amp;2'!C27)</f>
        <v/>
      </c>
      <c r="H27" s="16" t="str">
        <f>IF(OR('Ingoing substances'!I27="N",'Rinse-off - DID'!O27="Y"),"",D27)</f>
        <v/>
      </c>
      <c r="I27" s="16" t="str">
        <f>IF(C27="","",(IF(OR('Ingoing substances'!V27="No",'Rinse-off - DID'!N27="R"),"",C27*1000/$D$60)))</f>
        <v/>
      </c>
      <c r="J27" s="16" t="str">
        <f>IF(C27="","",(IF(OR('Ingoing substances'!V27="No",'Rinse-off - DID'!O27="Y",'Rinse-off - DID'!Q27="Y"),"",C27*1000/$D$60)))</f>
        <v/>
      </c>
    </row>
    <row r="28" spans="1:10">
      <c r="A28" s="5">
        <v>19</v>
      </c>
      <c r="B28" s="6" t="str">
        <f>'Rinse-off - DID'!B28</f>
        <v/>
      </c>
      <c r="C28" s="15" t="str">
        <f>IF(B28="","",'Rinse-off - DID'!G28)</f>
        <v/>
      </c>
      <c r="D28" s="6" t="str">
        <f>IF(B28="","",IF('Ingoing substances'!V28="Yes",C28,""))</f>
        <v/>
      </c>
      <c r="E28" s="16" t="str">
        <f>IF(B28="","",C28*'Rinse-off - DID'!L28*1000/'Rinse-off - DID'!M28)</f>
        <v/>
      </c>
      <c r="F28" s="16" t="str">
        <f t="shared" si="0"/>
        <v/>
      </c>
      <c r="G28" s="16" t="str">
        <f>IF(OR('Ingoing substances'!I28="N",'Rinse-off - DID'!N28="R"),"",'Results 1&amp;2'!C28)</f>
        <v/>
      </c>
      <c r="H28" s="16" t="str">
        <f>IF(OR('Ingoing substances'!I28="N",'Rinse-off - DID'!O28="Y"),"",D28)</f>
        <v/>
      </c>
      <c r="I28" s="16" t="str">
        <f>IF(C28="","",(IF(OR('Ingoing substances'!V28="No",'Rinse-off - DID'!N28="R"),"",C28*1000/$D$60)))</f>
        <v/>
      </c>
      <c r="J28" s="16" t="str">
        <f>IF(C28="","",(IF(OR('Ingoing substances'!V28="No",'Rinse-off - DID'!O28="Y",'Rinse-off - DID'!Q28="Y"),"",C28*1000/$D$60)))</f>
        <v/>
      </c>
    </row>
    <row r="29" spans="1:10">
      <c r="A29" s="5">
        <v>20</v>
      </c>
      <c r="B29" s="6" t="str">
        <f>'Rinse-off - DID'!B29</f>
        <v/>
      </c>
      <c r="C29" s="15" t="str">
        <f>IF(B29="","",'Rinse-off - DID'!G29)</f>
        <v/>
      </c>
      <c r="D29" s="6" t="str">
        <f>IF(B29="","",IF('Ingoing substances'!V29="Yes",C29,""))</f>
        <v/>
      </c>
      <c r="E29" s="16" t="str">
        <f>IF(B29="","",C29*'Rinse-off - DID'!L29*1000/'Rinse-off - DID'!M29)</f>
        <v/>
      </c>
      <c r="F29" s="16" t="str">
        <f t="shared" si="0"/>
        <v/>
      </c>
      <c r="G29" s="16" t="str">
        <f>IF(OR('Ingoing substances'!I29="N",'Rinse-off - DID'!N29="R"),"",'Results 1&amp;2'!C29)</f>
        <v/>
      </c>
      <c r="H29" s="16" t="str">
        <f>IF(OR('Ingoing substances'!I29="N",'Rinse-off - DID'!O29="Y"),"",D29)</f>
        <v/>
      </c>
      <c r="I29" s="16" t="str">
        <f>IF(C29="","",(IF(OR('Ingoing substances'!V29="No",'Rinse-off - DID'!N29="R"),"",C29*1000/$D$60)))</f>
        <v/>
      </c>
      <c r="J29" s="16" t="str">
        <f>IF(C29="","",(IF(OR('Ingoing substances'!V29="No",'Rinse-off - DID'!O29="Y",'Rinse-off - DID'!Q29="Y"),"",C29*1000/$D$60)))</f>
        <v/>
      </c>
    </row>
    <row r="30" spans="1:10">
      <c r="A30" s="5">
        <v>21</v>
      </c>
      <c r="B30" s="6" t="str">
        <f>'Rinse-off - DID'!B30</f>
        <v/>
      </c>
      <c r="C30" s="15" t="str">
        <f>IF(B30="","",'Rinse-off - DID'!G30)</f>
        <v/>
      </c>
      <c r="D30" s="6" t="str">
        <f>IF(B30="","",IF('Ingoing substances'!V30="Yes",C30,""))</f>
        <v/>
      </c>
      <c r="E30" s="16" t="str">
        <f>IF(B30="","",C30*'Rinse-off - DID'!L30*1000/'Rinse-off - DID'!M30)</f>
        <v/>
      </c>
      <c r="F30" s="16" t="str">
        <f t="shared" si="0"/>
        <v/>
      </c>
      <c r="G30" s="16" t="str">
        <f>IF(OR('Ingoing substances'!I30="N",'Rinse-off - DID'!N30="R"),"",'Results 1&amp;2'!C30)</f>
        <v/>
      </c>
      <c r="H30" s="16" t="str">
        <f>IF(OR('Ingoing substances'!I30="N",'Rinse-off - DID'!O30="Y"),"",D30)</f>
        <v/>
      </c>
      <c r="I30" s="16" t="str">
        <f>IF(C30="","",(IF(OR('Ingoing substances'!V30="No",'Rinse-off - DID'!N30="R"),"",C30*1000/$D$60)))</f>
        <v/>
      </c>
      <c r="J30" s="16" t="str">
        <f>IF(C30="","",(IF(OR('Ingoing substances'!V30="No",'Rinse-off - DID'!O30="Y",'Rinse-off - DID'!Q30="Y"),"",C30*1000/$D$60)))</f>
        <v/>
      </c>
    </row>
    <row r="31" spans="1:10">
      <c r="A31" s="5">
        <v>22</v>
      </c>
      <c r="B31" s="6" t="str">
        <f>'Rinse-off - DID'!B31</f>
        <v/>
      </c>
      <c r="C31" s="15" t="str">
        <f>IF(B31="","",'Rinse-off - DID'!G31)</f>
        <v/>
      </c>
      <c r="D31" s="6" t="str">
        <f>IF(B31="","",IF('Ingoing substances'!V31="Yes",C31,""))</f>
        <v/>
      </c>
      <c r="E31" s="16" t="str">
        <f>IF(B31="","",C31*'Rinse-off - DID'!L31*1000/'Rinse-off - DID'!M31)</f>
        <v/>
      </c>
      <c r="F31" s="16" t="str">
        <f t="shared" si="0"/>
        <v/>
      </c>
      <c r="G31" s="16" t="str">
        <f>IF(OR('Ingoing substances'!I31="N",'Rinse-off - DID'!N31="R"),"",'Results 1&amp;2'!C31)</f>
        <v/>
      </c>
      <c r="H31" s="16" t="str">
        <f>IF(OR('Ingoing substances'!I31="N",'Rinse-off - DID'!O31="Y"),"",D31)</f>
        <v/>
      </c>
      <c r="I31" s="16" t="str">
        <f>IF(C31="","",(IF(OR('Ingoing substances'!V31="No",'Rinse-off - DID'!N31="R"),"",C31*1000/$D$60)))</f>
        <v/>
      </c>
      <c r="J31" s="16" t="str">
        <f>IF(C31="","",(IF(OR('Ingoing substances'!V31="No",'Rinse-off - DID'!O31="Y",'Rinse-off - DID'!Q31="Y"),"",C31*1000/$D$60)))</f>
        <v/>
      </c>
    </row>
    <row r="32" spans="1:10">
      <c r="A32" s="5">
        <v>23</v>
      </c>
      <c r="B32" s="6" t="str">
        <f>'Rinse-off - DID'!B32</f>
        <v/>
      </c>
      <c r="C32" s="15" t="str">
        <f>IF(B32="","",'Rinse-off - DID'!G32)</f>
        <v/>
      </c>
      <c r="D32" s="6" t="str">
        <f>IF(B32="","",IF('Ingoing substances'!V32="Yes",C32,""))</f>
        <v/>
      </c>
      <c r="E32" s="16" t="str">
        <f>IF(B32="","",C32*'Rinse-off - DID'!L32*1000/'Rinse-off - DID'!M32)</f>
        <v/>
      </c>
      <c r="F32" s="16" t="str">
        <f t="shared" si="0"/>
        <v/>
      </c>
      <c r="G32" s="16" t="str">
        <f>IF(OR('Ingoing substances'!I32="N",'Rinse-off - DID'!N32="R"),"",'Results 1&amp;2'!C32)</f>
        <v/>
      </c>
      <c r="H32" s="16" t="str">
        <f>IF(OR('Ingoing substances'!I32="N",'Rinse-off - DID'!O32="Y"),"",D32)</f>
        <v/>
      </c>
      <c r="I32" s="16" t="str">
        <f>IF(C32="","",(IF(OR('Ingoing substances'!V32="No",'Rinse-off - DID'!N32="R"),"",C32*1000/$D$60)))</f>
        <v/>
      </c>
      <c r="J32" s="16" t="str">
        <f>IF(C32="","",(IF(OR('Ingoing substances'!V32="No",'Rinse-off - DID'!O32="Y",'Rinse-off - DID'!Q32="Y"),"",C32*1000/$D$60)))</f>
        <v/>
      </c>
    </row>
    <row r="33" spans="1:10">
      <c r="A33" s="5">
        <v>24</v>
      </c>
      <c r="B33" s="6" t="str">
        <f>'Rinse-off - DID'!B33</f>
        <v/>
      </c>
      <c r="C33" s="15" t="str">
        <f>IF(B33="","",'Rinse-off - DID'!G33)</f>
        <v/>
      </c>
      <c r="D33" s="6" t="str">
        <f>IF(B33="","",IF('Ingoing substances'!V33="Yes",C33,""))</f>
        <v/>
      </c>
      <c r="E33" s="16" t="str">
        <f>IF(B33="","",C33*'Rinse-off - DID'!L33*1000/'Rinse-off - DID'!M33)</f>
        <v/>
      </c>
      <c r="F33" s="16" t="str">
        <f t="shared" si="0"/>
        <v/>
      </c>
      <c r="G33" s="16" t="str">
        <f>IF(OR('Ingoing substances'!I33="N",'Rinse-off - DID'!N33="R"),"",'Results 1&amp;2'!C33)</f>
        <v/>
      </c>
      <c r="H33" s="16" t="str">
        <f>IF(OR('Ingoing substances'!I33="N",'Rinse-off - DID'!O33="Y"),"",D33)</f>
        <v/>
      </c>
      <c r="I33" s="16" t="str">
        <f>IF(C33="","",(IF(OR('Ingoing substances'!V33="No",'Rinse-off - DID'!N33="R"),"",C33*1000/$D$60)))</f>
        <v/>
      </c>
      <c r="J33" s="16" t="str">
        <f>IF(C33="","",(IF(OR('Ingoing substances'!V33="No",'Rinse-off - DID'!O33="Y",'Rinse-off - DID'!Q33="Y"),"",C33*1000/$D$60)))</f>
        <v/>
      </c>
    </row>
    <row r="34" spans="1:10">
      <c r="A34" s="5">
        <v>25</v>
      </c>
      <c r="B34" s="6" t="str">
        <f>'Rinse-off - DID'!B34</f>
        <v/>
      </c>
      <c r="C34" s="15" t="str">
        <f>IF(B34="","",'Rinse-off - DID'!G34)</f>
        <v/>
      </c>
      <c r="D34" s="6" t="str">
        <f>IF(B34="","",IF('Ingoing substances'!V34="Yes",C34,""))</f>
        <v/>
      </c>
      <c r="E34" s="16" t="str">
        <f>IF(B34="","",C34*'Rinse-off - DID'!L34*1000/'Rinse-off - DID'!M34)</f>
        <v/>
      </c>
      <c r="F34" s="16" t="str">
        <f t="shared" si="0"/>
        <v/>
      </c>
      <c r="G34" s="16" t="str">
        <f>IF(OR('Ingoing substances'!I34="N",'Rinse-off - DID'!N34="R"),"",'Results 1&amp;2'!C34)</f>
        <v/>
      </c>
      <c r="H34" s="16" t="str">
        <f>IF(OR('Ingoing substances'!I34="N",'Rinse-off - DID'!O34="Y"),"",D34)</f>
        <v/>
      </c>
      <c r="I34" s="16" t="str">
        <f>IF(C34="","",(IF(OR('Ingoing substances'!V34="No",'Rinse-off - DID'!N34="R"),"",C34*1000/$D$60)))</f>
        <v/>
      </c>
      <c r="J34" s="16" t="str">
        <f>IF(C34="","",(IF(OR('Ingoing substances'!V34="No",'Rinse-off - DID'!O34="Y",'Rinse-off - DID'!Q34="Y"),"",C34*1000/$D$60)))</f>
        <v/>
      </c>
    </row>
    <row r="35" spans="1:10">
      <c r="A35" s="5">
        <v>26</v>
      </c>
      <c r="B35" s="6" t="str">
        <f>'Rinse-off - DID'!B35</f>
        <v/>
      </c>
      <c r="C35" s="15" t="str">
        <f>IF(B35="","",'Rinse-off - DID'!G35)</f>
        <v/>
      </c>
      <c r="D35" s="6" t="str">
        <f>IF(B35="","",IF('Ingoing substances'!V35="Yes",C35,""))</f>
        <v/>
      </c>
      <c r="E35" s="16" t="str">
        <f>IF(B35="","",C35*'Rinse-off - DID'!L35*1000/'Rinse-off - DID'!M35)</f>
        <v/>
      </c>
      <c r="F35" s="16" t="str">
        <f t="shared" si="0"/>
        <v/>
      </c>
      <c r="G35" s="16" t="str">
        <f>IF(OR('Ingoing substances'!I35="N",'Rinse-off - DID'!N35="R"),"",'Results 1&amp;2'!C35)</f>
        <v/>
      </c>
      <c r="H35" s="16" t="str">
        <f>IF(OR('Ingoing substances'!I35="N",'Rinse-off - DID'!O35="Y"),"",D35)</f>
        <v/>
      </c>
      <c r="I35" s="16" t="str">
        <f>IF(C35="","",(IF(OR('Ingoing substances'!V35="No",'Rinse-off - DID'!N35="R"),"",C35*1000/$D$60)))</f>
        <v/>
      </c>
      <c r="J35" s="16" t="str">
        <f>IF(C35="","",(IF(OR('Ingoing substances'!V35="No",'Rinse-off - DID'!O35="Y",'Rinse-off - DID'!Q35="Y"),"",C35*1000/$D$60)))</f>
        <v/>
      </c>
    </row>
    <row r="36" spans="1:10">
      <c r="A36" s="5">
        <v>27</v>
      </c>
      <c r="B36" s="6" t="str">
        <f>'Rinse-off - DID'!B36</f>
        <v/>
      </c>
      <c r="C36" s="15" t="str">
        <f>IF(B36="","",'Rinse-off - DID'!G36)</f>
        <v/>
      </c>
      <c r="D36" s="6" t="str">
        <f>IF(B36="","",IF('Ingoing substances'!V36="Yes",C36,""))</f>
        <v/>
      </c>
      <c r="E36" s="16" t="str">
        <f>IF(B36="","",C36*'Rinse-off - DID'!L36*1000/'Rinse-off - DID'!M36)</f>
        <v/>
      </c>
      <c r="F36" s="16" t="str">
        <f t="shared" si="0"/>
        <v/>
      </c>
      <c r="G36" s="16" t="str">
        <f>IF(OR('Ingoing substances'!I36="N",'Rinse-off - DID'!N36="R"),"",'Results 1&amp;2'!C36)</f>
        <v/>
      </c>
      <c r="H36" s="16" t="str">
        <f>IF(OR('Ingoing substances'!I36="N",'Rinse-off - DID'!O36="Y"),"",D36)</f>
        <v/>
      </c>
      <c r="I36" s="16" t="str">
        <f>IF(C36="","",(IF(OR('Ingoing substances'!V36="No",'Rinse-off - DID'!N36="R"),"",C36*1000/$D$60)))</f>
        <v/>
      </c>
      <c r="J36" s="16" t="str">
        <f>IF(C36="","",(IF(OR('Ingoing substances'!V36="No",'Rinse-off - DID'!O36="Y",'Rinse-off - DID'!Q36="Y"),"",C36*1000/$D$60)))</f>
        <v/>
      </c>
    </row>
    <row r="37" spans="1:10">
      <c r="A37" s="5">
        <v>28</v>
      </c>
      <c r="B37" s="6" t="str">
        <f>'Rinse-off - DID'!B37</f>
        <v/>
      </c>
      <c r="C37" s="15" t="str">
        <f>IF(B37="","",'Rinse-off - DID'!G37)</f>
        <v/>
      </c>
      <c r="D37" s="6" t="str">
        <f>IF(B37="","",IF('Ingoing substances'!V37="Yes",C37,""))</f>
        <v/>
      </c>
      <c r="E37" s="16" t="str">
        <f>IF(B37="","",C37*'Rinse-off - DID'!L37*1000/'Rinse-off - DID'!M37)</f>
        <v/>
      </c>
      <c r="F37" s="16" t="str">
        <f t="shared" si="0"/>
        <v/>
      </c>
      <c r="G37" s="16" t="str">
        <f>IF(OR('Ingoing substances'!I37="N",'Rinse-off - DID'!N37="R"),"",'Results 1&amp;2'!C37)</f>
        <v/>
      </c>
      <c r="H37" s="16" t="str">
        <f>IF(OR('Ingoing substances'!I37="N",'Rinse-off - DID'!O37="Y"),"",D37)</f>
        <v/>
      </c>
      <c r="I37" s="16" t="str">
        <f>IF(C37="","",(IF(OR('Ingoing substances'!V37="No",'Rinse-off - DID'!N37="R"),"",C37*1000/$D$60)))</f>
        <v/>
      </c>
      <c r="J37" s="16" t="str">
        <f>IF(C37="","",(IF(OR('Ingoing substances'!V37="No",'Rinse-off - DID'!O37="Y",'Rinse-off - DID'!Q37="Y"),"",C37*1000/$D$60)))</f>
        <v/>
      </c>
    </row>
    <row r="38" spans="1:10">
      <c r="A38" s="5">
        <v>29</v>
      </c>
      <c r="B38" s="6" t="str">
        <f>'Rinse-off - DID'!B38</f>
        <v/>
      </c>
      <c r="C38" s="15" t="str">
        <f>IF(B38="","",'Rinse-off - DID'!G38)</f>
        <v/>
      </c>
      <c r="D38" s="6" t="str">
        <f>IF(B38="","",IF('Ingoing substances'!V38="Yes",C38,""))</f>
        <v/>
      </c>
      <c r="E38" s="16" t="str">
        <f>IF(B38="","",C38*'Rinse-off - DID'!L38*1000/'Rinse-off - DID'!M38)</f>
        <v/>
      </c>
      <c r="F38" s="16" t="str">
        <f t="shared" si="0"/>
        <v/>
      </c>
      <c r="G38" s="16" t="str">
        <f>IF(OR('Ingoing substances'!I38="N",'Rinse-off - DID'!N38="R"),"",'Results 1&amp;2'!C38)</f>
        <v/>
      </c>
      <c r="H38" s="16" t="str">
        <f>IF(OR('Ingoing substances'!I38="N",'Rinse-off - DID'!O38="Y"),"",D38)</f>
        <v/>
      </c>
      <c r="I38" s="16" t="str">
        <f>IF(C38="","",(IF(OR('Ingoing substances'!V38="No",'Rinse-off - DID'!N38="R"),"",C38*1000/$D$60)))</f>
        <v/>
      </c>
      <c r="J38" s="16" t="str">
        <f>IF(C38="","",(IF(OR('Ingoing substances'!V38="No",'Rinse-off - DID'!O38="Y",'Rinse-off - DID'!Q38="Y"),"",C38*1000/$D$60)))</f>
        <v/>
      </c>
    </row>
    <row r="39" spans="1:10">
      <c r="A39" s="5">
        <v>30</v>
      </c>
      <c r="B39" s="6" t="str">
        <f>'Rinse-off - DID'!B39</f>
        <v/>
      </c>
      <c r="C39" s="15" t="str">
        <f>IF(B39="","",'Rinse-off - DID'!G39)</f>
        <v/>
      </c>
      <c r="D39" s="6" t="str">
        <f>IF(B39="","",IF('Ingoing substances'!V39="Yes",C39,""))</f>
        <v/>
      </c>
      <c r="E39" s="16" t="str">
        <f>IF(B39="","",C39*'Rinse-off - DID'!L39*1000/'Rinse-off - DID'!M39)</f>
        <v/>
      </c>
      <c r="F39" s="16" t="str">
        <f t="shared" si="0"/>
        <v/>
      </c>
      <c r="G39" s="16" t="str">
        <f>IF(OR('Ingoing substances'!I39="N",'Rinse-off - DID'!N39="R"),"",'Results 1&amp;2'!C39)</f>
        <v/>
      </c>
      <c r="H39" s="16" t="str">
        <f>IF(OR('Ingoing substances'!I39="N",'Rinse-off - DID'!O39="Y"),"",D39)</f>
        <v/>
      </c>
      <c r="I39" s="16" t="str">
        <f>IF(C39="","",(IF(OR('Ingoing substances'!V39="No",'Rinse-off - DID'!N39="R"),"",C39*1000/$D$60)))</f>
        <v/>
      </c>
      <c r="J39" s="16" t="str">
        <f>IF(C39="","",(IF(OR('Ingoing substances'!V39="No",'Rinse-off - DID'!O39="Y",'Rinse-off - DID'!Q39="Y"),"",C39*1000/$D$60)))</f>
        <v/>
      </c>
    </row>
    <row r="40" spans="1:10">
      <c r="A40" s="5">
        <v>31</v>
      </c>
      <c r="B40" s="6" t="str">
        <f>'Rinse-off - DID'!B40</f>
        <v/>
      </c>
      <c r="C40" s="15" t="str">
        <f>IF(B40="","",'Rinse-off - DID'!G40)</f>
        <v/>
      </c>
      <c r="D40" s="6" t="str">
        <f>IF(B40="","",IF('Ingoing substances'!V40="Yes",C40,""))</f>
        <v/>
      </c>
      <c r="E40" s="16" t="str">
        <f>IF(B40="","",C40*'Rinse-off - DID'!L40*1000/'Rinse-off - DID'!M40)</f>
        <v/>
      </c>
      <c r="F40" s="16" t="str">
        <f t="shared" si="0"/>
        <v/>
      </c>
      <c r="G40" s="16" t="str">
        <f>IF(OR('Ingoing substances'!I40="N",'Rinse-off - DID'!N40="R"),"",'Results 1&amp;2'!C40)</f>
        <v/>
      </c>
      <c r="H40" s="16" t="str">
        <f>IF(OR('Ingoing substances'!I40="N",'Rinse-off - DID'!O40="Y"),"",D40)</f>
        <v/>
      </c>
      <c r="I40" s="16" t="str">
        <f>IF(C40="","",(IF(OR('Ingoing substances'!V40="No",'Rinse-off - DID'!N40="R"),"",C40*1000/$D$60)))</f>
        <v/>
      </c>
      <c r="J40" s="16" t="str">
        <f>IF(C40="","",(IF(OR('Ingoing substances'!V40="No",'Rinse-off - DID'!O40="Y",'Rinse-off - DID'!Q40="Y"),"",C40*1000/$D$60)))</f>
        <v/>
      </c>
    </row>
    <row r="41" spans="1:10">
      <c r="A41" s="5">
        <v>32</v>
      </c>
      <c r="B41" s="6" t="str">
        <f>'Rinse-off - DID'!B41</f>
        <v/>
      </c>
      <c r="C41" s="15" t="str">
        <f>IF(B41="","",'Rinse-off - DID'!G41)</f>
        <v/>
      </c>
      <c r="D41" s="6" t="str">
        <f>IF(B41="","",IF('Ingoing substances'!V41="Yes",C41,""))</f>
        <v/>
      </c>
      <c r="E41" s="16" t="str">
        <f>IF(B41="","",C41*'Rinse-off - DID'!L41*1000/'Rinse-off - DID'!M41)</f>
        <v/>
      </c>
      <c r="F41" s="16" t="str">
        <f t="shared" si="0"/>
        <v/>
      </c>
      <c r="G41" s="16" t="str">
        <f>IF(OR('Ingoing substances'!I41="N",'Rinse-off - DID'!N41="R"),"",'Results 1&amp;2'!C41)</f>
        <v/>
      </c>
      <c r="H41" s="16" t="str">
        <f>IF(OR('Ingoing substances'!I41="N",'Rinse-off - DID'!O41="Y"),"",D41)</f>
        <v/>
      </c>
      <c r="I41" s="16" t="str">
        <f>IF(C41="","",(IF(OR('Ingoing substances'!V41="No",'Rinse-off - DID'!N41="R"),"",C41*1000/$D$60)))</f>
        <v/>
      </c>
      <c r="J41" s="16" t="str">
        <f>IF(C41="","",(IF(OR('Ingoing substances'!V41="No",'Rinse-off - DID'!O41="Y",'Rinse-off - DID'!Q41="Y"),"",C41*1000/$D$60)))</f>
        <v/>
      </c>
    </row>
    <row r="42" spans="1:10">
      <c r="A42" s="5">
        <v>33</v>
      </c>
      <c r="B42" s="6" t="str">
        <f>'Rinse-off - DID'!B42</f>
        <v/>
      </c>
      <c r="C42" s="15" t="str">
        <f>IF(B42="","",'Rinse-off - DID'!G42)</f>
        <v/>
      </c>
      <c r="D42" s="6" t="str">
        <f>IF(B42="","",IF('Ingoing substances'!V42="Yes",C42,""))</f>
        <v/>
      </c>
      <c r="E42" s="16" t="str">
        <f>IF(B42="","",C42*'Rinse-off - DID'!L42*1000/'Rinse-off - DID'!M42)</f>
        <v/>
      </c>
      <c r="F42" s="16" t="str">
        <f t="shared" si="0"/>
        <v/>
      </c>
      <c r="G42" s="16" t="str">
        <f>IF(OR('Ingoing substances'!I42="N",'Rinse-off - DID'!N42="R"),"",'Results 1&amp;2'!C42)</f>
        <v/>
      </c>
      <c r="H42" s="16" t="str">
        <f>IF(OR('Ingoing substances'!I42="N",'Rinse-off - DID'!O42="Y"),"",D42)</f>
        <v/>
      </c>
      <c r="I42" s="16" t="str">
        <f>IF(C42="","",(IF(OR('Ingoing substances'!V42="No",'Rinse-off - DID'!N42="R"),"",C42*1000/$D$60)))</f>
        <v/>
      </c>
      <c r="J42" s="16" t="str">
        <f>IF(C42="","",(IF(OR('Ingoing substances'!V42="No",'Rinse-off - DID'!O42="Y",'Rinse-off - DID'!Q42="Y"),"",C42*1000/$D$60)))</f>
        <v/>
      </c>
    </row>
    <row r="43" spans="1:10">
      <c r="A43" s="5">
        <v>34</v>
      </c>
      <c r="B43" s="6" t="str">
        <f>'Rinse-off - DID'!B43</f>
        <v/>
      </c>
      <c r="C43" s="15" t="str">
        <f>IF(B43="","",'Rinse-off - DID'!G43)</f>
        <v/>
      </c>
      <c r="D43" s="6" t="str">
        <f>IF(B43="","",IF('Ingoing substances'!V43="Yes",C43,""))</f>
        <v/>
      </c>
      <c r="E43" s="16" t="str">
        <f>IF(B43="","",C43*'Rinse-off - DID'!L43*1000/'Rinse-off - DID'!M43)</f>
        <v/>
      </c>
      <c r="F43" s="16" t="str">
        <f t="shared" si="0"/>
        <v/>
      </c>
      <c r="G43" s="16" t="str">
        <f>IF(OR('Ingoing substances'!I43="N",'Rinse-off - DID'!N43="R"),"",'Results 1&amp;2'!C43)</f>
        <v/>
      </c>
      <c r="H43" s="16" t="str">
        <f>IF(OR('Ingoing substances'!I43="N",'Rinse-off - DID'!O43="Y"),"",D43)</f>
        <v/>
      </c>
      <c r="I43" s="16" t="str">
        <f>IF(C43="","",(IF(OR('Ingoing substances'!V43="No",'Rinse-off - DID'!N43="R"),"",C43*1000/$D$60)))</f>
        <v/>
      </c>
      <c r="J43" s="16" t="str">
        <f>IF(C43="","",(IF(OR('Ingoing substances'!V43="No",'Rinse-off - DID'!O43="Y",'Rinse-off - DID'!Q43="Y"),"",C43*1000/$D$60)))</f>
        <v/>
      </c>
    </row>
    <row r="44" spans="1:10">
      <c r="A44" s="5">
        <v>35</v>
      </c>
      <c r="B44" s="6" t="str">
        <f>'Rinse-off - DID'!B44</f>
        <v/>
      </c>
      <c r="C44" s="15" t="str">
        <f>IF(B44="","",'Rinse-off - DID'!G44)</f>
        <v/>
      </c>
      <c r="D44" s="6" t="str">
        <f>IF(B44="","",IF('Ingoing substances'!V44="Yes",C44,""))</f>
        <v/>
      </c>
      <c r="E44" s="16" t="str">
        <f>IF(B44="","",C44*'Rinse-off - DID'!L44*1000/'Rinse-off - DID'!M44)</f>
        <v/>
      </c>
      <c r="F44" s="16" t="str">
        <f t="shared" si="0"/>
        <v/>
      </c>
      <c r="G44" s="16" t="str">
        <f>IF(OR('Ingoing substances'!I44="N",'Rinse-off - DID'!N44="R"),"",'Results 1&amp;2'!C44)</f>
        <v/>
      </c>
      <c r="H44" s="16" t="str">
        <f>IF(OR('Ingoing substances'!I44="N",'Rinse-off - DID'!O44="Y"),"",D44)</f>
        <v/>
      </c>
      <c r="I44" s="16" t="str">
        <f>IF(C44="","",(IF(OR('Ingoing substances'!V44="No",'Rinse-off - DID'!N44="R"),"",C44*1000/$D$60)))</f>
        <v/>
      </c>
      <c r="J44" s="16" t="str">
        <f>IF(C44="","",(IF(OR('Ingoing substances'!V44="No",'Rinse-off - DID'!O44="Y",'Rinse-off - DID'!Q44="Y"),"",C44*1000/$D$60)))</f>
        <v/>
      </c>
    </row>
    <row r="45" spans="1:10">
      <c r="A45" s="5">
        <v>36</v>
      </c>
      <c r="B45" s="6" t="str">
        <f>'Rinse-off - DID'!B45</f>
        <v/>
      </c>
      <c r="C45" s="15" t="str">
        <f>IF(B45="","",'Rinse-off - DID'!G45)</f>
        <v/>
      </c>
      <c r="D45" s="6" t="str">
        <f>IF(B45="","",IF('Ingoing substances'!V45="Yes",C45,""))</f>
        <v/>
      </c>
      <c r="E45" s="16" t="str">
        <f>IF(B45="","",C45*'Rinse-off - DID'!L45*1000/'Rinse-off - DID'!M45)</f>
        <v/>
      </c>
      <c r="F45" s="16" t="str">
        <f t="shared" si="0"/>
        <v/>
      </c>
      <c r="G45" s="16" t="str">
        <f>IF(OR('Ingoing substances'!I45="N",'Rinse-off - DID'!N45="R"),"",'Results 1&amp;2'!C45)</f>
        <v/>
      </c>
      <c r="H45" s="16" t="str">
        <f>IF(OR('Ingoing substances'!I45="N",'Rinse-off - DID'!O45="Y"),"",D45)</f>
        <v/>
      </c>
      <c r="I45" s="16" t="str">
        <f>IF(C45="","",(IF(OR('Ingoing substances'!V45="No",'Rinse-off - DID'!N45="R"),"",C45*1000/$D$60)))</f>
        <v/>
      </c>
      <c r="J45" s="16" t="str">
        <f>IF(C45="","",(IF(OR('Ingoing substances'!V45="No",'Rinse-off - DID'!O45="Y",'Rinse-off - DID'!Q45="Y"),"",C45*1000/$D$60)))</f>
        <v/>
      </c>
    </row>
    <row r="46" spans="1:10">
      <c r="A46" s="5">
        <v>37</v>
      </c>
      <c r="B46" s="6" t="str">
        <f>'Rinse-off - DID'!B46</f>
        <v/>
      </c>
      <c r="C46" s="15" t="str">
        <f>IF(B46="","",'Rinse-off - DID'!G46)</f>
        <v/>
      </c>
      <c r="D46" s="6" t="str">
        <f>IF(B46="","",IF('Ingoing substances'!V46="Yes",C46,""))</f>
        <v/>
      </c>
      <c r="E46" s="16" t="str">
        <f>IF(B46="","",C46*'Rinse-off - DID'!L46*1000/'Rinse-off - DID'!M46)</f>
        <v/>
      </c>
      <c r="F46" s="16" t="str">
        <f t="shared" si="0"/>
        <v/>
      </c>
      <c r="G46" s="16" t="str">
        <f>IF(OR('Ingoing substances'!I46="N",'Rinse-off - DID'!N46="R"),"",'Results 1&amp;2'!C46)</f>
        <v/>
      </c>
      <c r="H46" s="16" t="str">
        <f>IF(OR('Ingoing substances'!I46="N",'Rinse-off - DID'!O46="Y"),"",D46)</f>
        <v/>
      </c>
      <c r="I46" s="16" t="str">
        <f>IF(C46="","",(IF(OR('Ingoing substances'!V46="No",'Rinse-off - DID'!N46="R"),"",C46*1000/$D$60)))</f>
        <v/>
      </c>
      <c r="J46" s="16" t="str">
        <f>IF(C46="","",(IF(OR('Ingoing substances'!V46="No",'Rinse-off - DID'!O46="Y",'Rinse-off - DID'!Q46="Y"),"",C46*1000/$D$60)))</f>
        <v/>
      </c>
    </row>
    <row r="47" spans="1:10">
      <c r="A47" s="5">
        <v>38</v>
      </c>
      <c r="B47" s="6" t="str">
        <f>'Rinse-off - DID'!B47</f>
        <v/>
      </c>
      <c r="C47" s="15" t="str">
        <f>IF(B47="","",'Rinse-off - DID'!G47)</f>
        <v/>
      </c>
      <c r="D47" s="6" t="str">
        <f>IF(B47="","",IF('Ingoing substances'!V47="Yes",C47,""))</f>
        <v/>
      </c>
      <c r="E47" s="16" t="str">
        <f>IF(B47="","",C47*'Rinse-off - DID'!L47*1000/'Rinse-off - DID'!M47)</f>
        <v/>
      </c>
      <c r="F47" s="16" t="str">
        <f t="shared" si="0"/>
        <v/>
      </c>
      <c r="G47" s="16" t="str">
        <f>IF(OR('Ingoing substances'!I47="N",'Rinse-off - DID'!N47="R"),"",'Results 1&amp;2'!C47)</f>
        <v/>
      </c>
      <c r="H47" s="16" t="str">
        <f>IF(OR('Ingoing substances'!I47="N",'Rinse-off - DID'!O47="Y"),"",D47)</f>
        <v/>
      </c>
      <c r="I47" s="16" t="str">
        <f>IF(C47="","",(IF(OR('Ingoing substances'!V47="No",'Rinse-off - DID'!N47="R"),"",C47*1000/$D$60)))</f>
        <v/>
      </c>
      <c r="J47" s="16" t="str">
        <f>IF(C47="","",(IF(OR('Ingoing substances'!V47="No",'Rinse-off - DID'!O47="Y",'Rinse-off - DID'!Q47="Y"),"",C47*1000/$D$60)))</f>
        <v/>
      </c>
    </row>
    <row r="48" spans="1:10">
      <c r="A48" s="5">
        <v>39</v>
      </c>
      <c r="B48" s="6" t="str">
        <f>'Rinse-off - DID'!B48</f>
        <v/>
      </c>
      <c r="C48" s="15" t="str">
        <f>IF(B48="","",'Rinse-off - DID'!G48)</f>
        <v/>
      </c>
      <c r="D48" s="6" t="str">
        <f>IF(B48="","",IF('Ingoing substances'!V48="Yes",C48,""))</f>
        <v/>
      </c>
      <c r="E48" s="16" t="str">
        <f>IF(B48="","",C48*'Rinse-off - DID'!L48*1000/'Rinse-off - DID'!M48)</f>
        <v/>
      </c>
      <c r="F48" s="16" t="str">
        <f t="shared" si="0"/>
        <v/>
      </c>
      <c r="G48" s="16" t="str">
        <f>IF(OR('Ingoing substances'!I48="N",'Rinse-off - DID'!N48="R"),"",'Results 1&amp;2'!C48)</f>
        <v/>
      </c>
      <c r="H48" s="16" t="str">
        <f>IF(OR('Ingoing substances'!I48="N",'Rinse-off - DID'!O48="Y"),"",D48)</f>
        <v/>
      </c>
      <c r="I48" s="16" t="str">
        <f>IF(C48="","",(IF(OR('Ingoing substances'!V48="No",'Rinse-off - DID'!N48="R"),"",C48*1000/$D$60)))</f>
        <v/>
      </c>
      <c r="J48" s="16" t="str">
        <f>IF(C48="","",(IF(OR('Ingoing substances'!V48="No",'Rinse-off - DID'!O48="Y",'Rinse-off - DID'!Q48="Y"),"",C48*1000/$D$60)))</f>
        <v/>
      </c>
    </row>
    <row r="49" spans="1:10">
      <c r="A49" s="5">
        <v>40</v>
      </c>
      <c r="B49" s="6" t="str">
        <f>'Rinse-off - DID'!B49</f>
        <v/>
      </c>
      <c r="C49" s="15" t="str">
        <f>IF(B49="","",'Rinse-off - DID'!G49)</f>
        <v/>
      </c>
      <c r="D49" s="6" t="str">
        <f>IF(B49="","",IF('Ingoing substances'!V49="Yes",C49,""))</f>
        <v/>
      </c>
      <c r="E49" s="16" t="str">
        <f>IF(B49="","",C49*'Rinse-off - DID'!L49*1000/'Rinse-off - DID'!M49)</f>
        <v/>
      </c>
      <c r="F49" s="16" t="str">
        <f t="shared" si="0"/>
        <v/>
      </c>
      <c r="G49" s="16" t="str">
        <f>IF(OR('Ingoing substances'!I49="N",'Rinse-off - DID'!N49="R"),"",'Results 1&amp;2'!C49)</f>
        <v/>
      </c>
      <c r="H49" s="16" t="str">
        <f>IF(OR('Ingoing substances'!I49="N",'Rinse-off - DID'!O49="Y"),"",D49)</f>
        <v/>
      </c>
      <c r="I49" s="16" t="str">
        <f>IF(C49="","",(IF(OR('Ingoing substances'!V49="No",'Rinse-off - DID'!N49="R"),"",C49*1000/$D$60)))</f>
        <v/>
      </c>
      <c r="J49" s="16" t="str">
        <f>IF(C49="","",(IF(OR('Ingoing substances'!V49="No",'Rinse-off - DID'!O49="Y",'Rinse-off - DID'!Q49="Y"),"",C49*1000/$D$60)))</f>
        <v/>
      </c>
    </row>
    <row r="50" spans="1:10">
      <c r="A50" s="5">
        <v>41</v>
      </c>
      <c r="B50" s="6" t="str">
        <f>'Rinse-off - DID'!B50</f>
        <v/>
      </c>
      <c r="C50" s="15" t="str">
        <f>IF(B50="","",'Rinse-off - DID'!G50)</f>
        <v/>
      </c>
      <c r="D50" s="6" t="str">
        <f>IF(B50="","",IF('Ingoing substances'!V50="Yes",C50,""))</f>
        <v/>
      </c>
      <c r="E50" s="16" t="str">
        <f>IF(B50="","",C50*'Rinse-off - DID'!L50*1000/'Rinse-off - DID'!M50)</f>
        <v/>
      </c>
      <c r="F50" s="16" t="str">
        <f t="shared" si="0"/>
        <v/>
      </c>
      <c r="G50" s="16" t="str">
        <f>IF(OR('Ingoing substances'!I50="N",'Rinse-off - DID'!N50="R"),"",'Results 1&amp;2'!C50)</f>
        <v/>
      </c>
      <c r="H50" s="16" t="str">
        <f>IF(OR('Ingoing substances'!I50="N",'Rinse-off - DID'!O50="Y"),"",D50)</f>
        <v/>
      </c>
      <c r="I50" s="16" t="str">
        <f>IF(C50="","",(IF(OR('Ingoing substances'!V50="No",'Rinse-off - DID'!N50="R"),"",C50*1000/$D$60)))</f>
        <v/>
      </c>
      <c r="J50" s="16" t="str">
        <f>IF(C50="","",(IF(OR('Ingoing substances'!V50="No",'Rinse-off - DID'!O50="Y",'Rinse-off - DID'!Q50="Y"),"",C50*1000/$D$60)))</f>
        <v/>
      </c>
    </row>
    <row r="51" spans="1:10">
      <c r="A51" s="5">
        <v>42</v>
      </c>
      <c r="B51" s="6" t="str">
        <f>'Rinse-off - DID'!B51</f>
        <v/>
      </c>
      <c r="C51" s="15" t="str">
        <f>IF(B51="","",'Rinse-off - DID'!G51)</f>
        <v/>
      </c>
      <c r="D51" s="6" t="str">
        <f>IF(B51="","",IF('Ingoing substances'!V51="Yes",C51,""))</f>
        <v/>
      </c>
      <c r="E51" s="16" t="str">
        <f>IF(B51="","",C51*'Rinse-off - DID'!L51*1000/'Rinse-off - DID'!M51)</f>
        <v/>
      </c>
      <c r="F51" s="16" t="str">
        <f t="shared" si="0"/>
        <v/>
      </c>
      <c r="G51" s="16" t="str">
        <f>IF(OR('Ingoing substances'!I51="N",'Rinse-off - DID'!N51="R"),"",'Results 1&amp;2'!C51)</f>
        <v/>
      </c>
      <c r="H51" s="16" t="str">
        <f>IF(OR('Ingoing substances'!I51="N",'Rinse-off - DID'!O51="Y"),"",D51)</f>
        <v/>
      </c>
      <c r="I51" s="16" t="str">
        <f>IF(C51="","",(IF(OR('Ingoing substances'!V51="No",'Rinse-off - DID'!N51="R"),"",C51*1000/$D$60)))</f>
        <v/>
      </c>
      <c r="J51" s="16" t="str">
        <f>IF(C51="","",(IF(OR('Ingoing substances'!V51="No",'Rinse-off - DID'!O51="Y",'Rinse-off - DID'!Q51="Y"),"",C51*1000/$D$60)))</f>
        <v/>
      </c>
    </row>
    <row r="52" spans="1:10">
      <c r="A52" s="5">
        <v>43</v>
      </c>
      <c r="B52" s="6" t="str">
        <f>'Rinse-off - DID'!B52</f>
        <v/>
      </c>
      <c r="C52" s="15" t="str">
        <f>IF(B52="","",'Rinse-off - DID'!G52)</f>
        <v/>
      </c>
      <c r="D52" s="6" t="str">
        <f>IF(B52="","",IF('Ingoing substances'!V52="Yes",C52,""))</f>
        <v/>
      </c>
      <c r="E52" s="16" t="str">
        <f>IF(B52="","",C52*'Rinse-off - DID'!L52*1000/'Rinse-off - DID'!M52)</f>
        <v/>
      </c>
      <c r="F52" s="16" t="str">
        <f t="shared" si="0"/>
        <v/>
      </c>
      <c r="G52" s="16" t="str">
        <f>IF(OR('Ingoing substances'!I52="N",'Rinse-off - DID'!N52="R"),"",'Results 1&amp;2'!C52)</f>
        <v/>
      </c>
      <c r="H52" s="16" t="str">
        <f>IF(OR('Ingoing substances'!I52="N",'Rinse-off - DID'!O52="Y"),"",D52)</f>
        <v/>
      </c>
      <c r="I52" s="16" t="str">
        <f>IF(C52="","",(IF(OR('Ingoing substances'!V52="No",'Rinse-off - DID'!N52="R"),"",C52*1000/$D$60)))</f>
        <v/>
      </c>
      <c r="J52" s="16" t="str">
        <f>IF(C52="","",(IF(OR('Ingoing substances'!V52="No",'Rinse-off - DID'!O52="Y",'Rinse-off - DID'!Q52="Y"),"",C52*1000/$D$60)))</f>
        <v/>
      </c>
    </row>
    <row r="53" spans="1:10">
      <c r="A53" s="5">
        <v>44</v>
      </c>
      <c r="B53" s="6" t="str">
        <f>'Rinse-off - DID'!B53</f>
        <v/>
      </c>
      <c r="C53" s="15" t="str">
        <f>IF(B53="","",'Rinse-off - DID'!G53)</f>
        <v/>
      </c>
      <c r="D53" s="6" t="str">
        <f>IF(B53="","",IF('Ingoing substances'!V53="Yes",C53,""))</f>
        <v/>
      </c>
      <c r="E53" s="16" t="str">
        <f>IF(B53="","",C53*'Rinse-off - DID'!L53*1000/'Rinse-off - DID'!M53)</f>
        <v/>
      </c>
      <c r="F53" s="16" t="str">
        <f t="shared" si="0"/>
        <v/>
      </c>
      <c r="G53" s="16" t="str">
        <f>IF(OR('Ingoing substances'!I53="N",'Rinse-off - DID'!N53="R"),"",'Results 1&amp;2'!C53)</f>
        <v/>
      </c>
      <c r="H53" s="16" t="str">
        <f>IF(OR('Ingoing substances'!I53="N",'Rinse-off - DID'!O53="Y"),"",D53)</f>
        <v/>
      </c>
      <c r="I53" s="16" t="str">
        <f>IF(C53="","",(IF(OR('Ingoing substances'!V53="No",'Rinse-off - DID'!N53="R"),"",C53*1000/$D$60)))</f>
        <v/>
      </c>
      <c r="J53" s="16" t="str">
        <f>IF(C53="","",(IF(OR('Ingoing substances'!V53="No",'Rinse-off - DID'!O53="Y",'Rinse-off - DID'!Q53="Y"),"",C53*1000/$D$60)))</f>
        <v/>
      </c>
    </row>
    <row r="54" spans="1:10">
      <c r="A54" s="5">
        <v>45</v>
      </c>
      <c r="B54" s="6" t="str">
        <f>'Rinse-off - DID'!B54</f>
        <v/>
      </c>
      <c r="C54" s="15" t="str">
        <f>IF(B54="","",'Rinse-off - DID'!G54)</f>
        <v/>
      </c>
      <c r="D54" s="6" t="str">
        <f>IF(B54="","",IF('Ingoing substances'!V54="Yes",C54,""))</f>
        <v/>
      </c>
      <c r="E54" s="16" t="str">
        <f>IF(B54="","",C54*'Rinse-off - DID'!L54*1000/'Rinse-off - DID'!M54)</f>
        <v/>
      </c>
      <c r="F54" s="16" t="str">
        <f t="shared" si="0"/>
        <v/>
      </c>
      <c r="G54" s="16" t="str">
        <f>IF(OR('Ingoing substances'!I54="N",'Rinse-off - DID'!N54="R"),"",'Results 1&amp;2'!C54)</f>
        <v/>
      </c>
      <c r="H54" s="16" t="str">
        <f>IF(OR('Ingoing substances'!I54="N",'Rinse-off - DID'!O54="Y"),"",D54)</f>
        <v/>
      </c>
      <c r="I54" s="16" t="str">
        <f>IF(C54="","",(IF(OR('Ingoing substances'!V54="No",'Rinse-off - DID'!N54="R"),"",C54*1000/$D$60)))</f>
        <v/>
      </c>
      <c r="J54" s="16" t="str">
        <f>IF(C54="","",(IF(OR('Ingoing substances'!V54="No",'Rinse-off - DID'!O54="Y",'Rinse-off - DID'!Q54="Y"),"",C54*1000/$D$60)))</f>
        <v/>
      </c>
    </row>
    <row r="55" spans="1:10">
      <c r="A55" s="5">
        <v>46</v>
      </c>
      <c r="B55" s="6" t="str">
        <f>'Rinse-off - DID'!B55</f>
        <v/>
      </c>
      <c r="C55" s="15" t="str">
        <f>IF(B55="","",'Rinse-off - DID'!G55)</f>
        <v/>
      </c>
      <c r="D55" s="6" t="str">
        <f>IF(B55="","",IF('Ingoing substances'!V55="Yes",C55,""))</f>
        <v/>
      </c>
      <c r="E55" s="16" t="str">
        <f>IF(B55="","",C55*'Rinse-off - DID'!L55*1000/'Rinse-off - DID'!M55)</f>
        <v/>
      </c>
      <c r="F55" s="16" t="str">
        <f t="shared" si="0"/>
        <v/>
      </c>
      <c r="G55" s="16" t="str">
        <f>IF(OR('Ingoing substances'!I55="N",'Rinse-off - DID'!N55="R"),"",'Results 1&amp;2'!C55)</f>
        <v/>
      </c>
      <c r="H55" s="16" t="str">
        <f>IF(OR('Ingoing substances'!I55="N",'Rinse-off - DID'!O55="Y"),"",D55)</f>
        <v/>
      </c>
      <c r="I55" s="16" t="str">
        <f>IF(C55="","",(IF(OR('Ingoing substances'!V55="No",'Rinse-off - DID'!N55="R"),"",C55*1000/$D$60)))</f>
        <v/>
      </c>
      <c r="J55" s="16" t="str">
        <f>IF(C55="","",(IF(OR('Ingoing substances'!V55="No",'Rinse-off - DID'!O55="Y",'Rinse-off - DID'!Q55="Y"),"",C55*1000/$D$60)))</f>
        <v/>
      </c>
    </row>
    <row r="56" spans="1:10">
      <c r="A56" s="5">
        <v>47</v>
      </c>
      <c r="B56" s="6" t="str">
        <f>'Rinse-off - DID'!B56</f>
        <v/>
      </c>
      <c r="C56" s="15" t="str">
        <f>IF(B56="","",'Rinse-off - DID'!G56)</f>
        <v/>
      </c>
      <c r="D56" s="6" t="str">
        <f>IF(B56="","",IF('Ingoing substances'!V56="Yes",C56,""))</f>
        <v/>
      </c>
      <c r="E56" s="16" t="str">
        <f>IF(B56="","",C56*'Rinse-off - DID'!L56*1000/'Rinse-off - DID'!M56)</f>
        <v/>
      </c>
      <c r="F56" s="16" t="str">
        <f t="shared" si="0"/>
        <v/>
      </c>
      <c r="G56" s="16" t="str">
        <f>IF(OR('Ingoing substances'!I56="N",'Rinse-off - DID'!N56="R"),"",'Results 1&amp;2'!C56)</f>
        <v/>
      </c>
      <c r="H56" s="16" t="str">
        <f>IF(OR('Ingoing substances'!I56="N",'Rinse-off - DID'!O56="Y"),"",D56)</f>
        <v/>
      </c>
      <c r="I56" s="16" t="str">
        <f>IF(C56="","",(IF(OR('Ingoing substances'!V56="No",'Rinse-off - DID'!N56="R"),"",C56*1000/$D$60)))</f>
        <v/>
      </c>
      <c r="J56" s="16" t="str">
        <f>IF(C56="","",(IF(OR('Ingoing substances'!V56="No",'Rinse-off - DID'!O56="Y",'Rinse-off - DID'!Q56="Y"),"",C56*1000/$D$60)))</f>
        <v/>
      </c>
    </row>
    <row r="57" spans="1:10">
      <c r="A57" s="5">
        <v>48</v>
      </c>
      <c r="B57" s="6" t="str">
        <f>'Rinse-off - DID'!B57</f>
        <v/>
      </c>
      <c r="C57" s="15" t="str">
        <f>IF(B57="","",'Rinse-off - DID'!G57)</f>
        <v/>
      </c>
      <c r="D57" s="6" t="str">
        <f>IF(B57="","",IF('Ingoing substances'!V57="Yes",C57,""))</f>
        <v/>
      </c>
      <c r="E57" s="16" t="str">
        <f>IF(B57="","",C57*'Rinse-off - DID'!L57*1000/'Rinse-off - DID'!M57)</f>
        <v/>
      </c>
      <c r="F57" s="16" t="str">
        <f t="shared" si="0"/>
        <v/>
      </c>
      <c r="G57" s="16" t="str">
        <f>IF(OR('Ingoing substances'!I57="N",'Rinse-off - DID'!N57="R"),"",'Results 1&amp;2'!C57)</f>
        <v/>
      </c>
      <c r="H57" s="16" t="str">
        <f>IF(OR('Ingoing substances'!I57="N",'Rinse-off - DID'!O57="Y"),"",D57)</f>
        <v/>
      </c>
      <c r="I57" s="16" t="str">
        <f>IF(C57="","",(IF(OR('Ingoing substances'!V57="No",'Rinse-off - DID'!N57="R"),"",C57*1000/$D$60)))</f>
        <v/>
      </c>
      <c r="J57" s="16" t="str">
        <f>IF(C57="","",(IF(OR('Ingoing substances'!V57="No",'Rinse-off - DID'!O57="Y",'Rinse-off - DID'!Q57="Y"),"",C57*1000/$D$60)))</f>
        <v/>
      </c>
    </row>
    <row r="58" spans="1:10">
      <c r="A58" s="5">
        <v>49</v>
      </c>
      <c r="B58" s="6" t="str">
        <f>'Rinse-off - DID'!B58</f>
        <v/>
      </c>
      <c r="C58" s="15" t="str">
        <f>IF(B58="","",'Rinse-off - DID'!G58)</f>
        <v/>
      </c>
      <c r="D58" s="6" t="str">
        <f>IF(B58="","",IF('Ingoing substances'!V58="Yes",C58,""))</f>
        <v/>
      </c>
      <c r="E58" s="16" t="str">
        <f>IF(B58="","",C58*'Rinse-off - DID'!L58*1000/'Rinse-off - DID'!M58)</f>
        <v/>
      </c>
      <c r="F58" s="16" t="str">
        <f t="shared" si="0"/>
        <v/>
      </c>
      <c r="G58" s="16" t="str">
        <f>IF(OR('Ingoing substances'!I58="N",'Rinse-off - DID'!N58="R"),"",'Results 1&amp;2'!C58)</f>
        <v/>
      </c>
      <c r="H58" s="16" t="str">
        <f>IF(OR('Ingoing substances'!I58="N",'Rinse-off - DID'!O58="Y"),"",D58)</f>
        <v/>
      </c>
      <c r="I58" s="16" t="str">
        <f>IF(C58="","",(IF(OR('Ingoing substances'!V58="No",'Rinse-off - DID'!N58="R"),"",C58*1000/$D$60)))</f>
        <v/>
      </c>
      <c r="J58" s="16" t="str">
        <f>IF(C58="","",(IF(OR('Ingoing substances'!V58="No",'Rinse-off - DID'!O58="Y",'Rinse-off - DID'!Q58="Y"),"",C58*1000/$D$60)))</f>
        <v/>
      </c>
    </row>
    <row r="59" spans="1:10">
      <c r="A59" s="5">
        <v>50</v>
      </c>
      <c r="B59" s="162" t="str">
        <f>'Rinse-off - DID'!B59</f>
        <v/>
      </c>
      <c r="C59" s="163" t="str">
        <f>IF(B59="","",'Rinse-off - DID'!G59)</f>
        <v/>
      </c>
      <c r="D59" s="162" t="str">
        <f>IF(B59="","",IF('Ingoing substances'!V59="Yes",C59,""))</f>
        <v/>
      </c>
      <c r="E59" s="164" t="str">
        <f>IF(B59="","",C59*'Rinse-off - DID'!L59*1000/'Rinse-off - DID'!M59)</f>
        <v/>
      </c>
      <c r="F59" s="164" t="str">
        <f t="shared" si="0"/>
        <v/>
      </c>
      <c r="G59" s="164" t="str">
        <f>IF(OR('Ingoing substances'!I59="N",'Rinse-off - DID'!N59="R"),"",'Results 1&amp;2'!C59)</f>
        <v/>
      </c>
      <c r="H59" s="16" t="str">
        <f>IF(OR('Ingoing substances'!I59="N",'Rinse-off - DID'!O59="Y"),"",D59)</f>
        <v/>
      </c>
      <c r="I59" s="164" t="str">
        <f>IF(C59="","",(IF(OR('Ingoing substances'!V59="No",'Rinse-off - DID'!N59="R"),"",C59*1000/$D$60)))</f>
        <v/>
      </c>
      <c r="J59" s="16" t="str">
        <f>IF(C59="","",(IF(OR('Ingoing substances'!V59="No",'Rinse-off - DID'!O59="Y",'Rinse-off - DID'!Q59="Y"),"",C59*1000/$D$60)))</f>
        <v/>
      </c>
    </row>
    <row r="60" spans="1:10" ht="15.6">
      <c r="B60" s="165" t="s">
        <v>30</v>
      </c>
      <c r="C60" s="166"/>
      <c r="D60" s="167">
        <f>SUM(D11:D59)</f>
        <v>0</v>
      </c>
      <c r="E60" s="167">
        <f>SUM(E11:E59)</f>
        <v>0</v>
      </c>
      <c r="F60" s="167">
        <f>SUM(F11:F59)</f>
        <v>0</v>
      </c>
      <c r="G60" s="167">
        <f t="shared" ref="G60:J60" si="1">SUM(G11:G59)</f>
        <v>0</v>
      </c>
      <c r="H60" s="167">
        <f t="shared" si="1"/>
        <v>0</v>
      </c>
      <c r="I60" s="167">
        <f t="shared" si="1"/>
        <v>0</v>
      </c>
      <c r="J60" s="167">
        <f t="shared" si="1"/>
        <v>0</v>
      </c>
    </row>
    <row r="61" spans="1:10" ht="15.6">
      <c r="B61" s="241" t="s">
        <v>0</v>
      </c>
      <c r="E61" s="165" t="s">
        <v>76</v>
      </c>
      <c r="F61" s="197" t="str">
        <f>IF('Product formulation'!C4="","0",VLOOKUP('Product formulation'!C4,Hoja2!$B$3:$E$13,2,FALSE))</f>
        <v>0</v>
      </c>
      <c r="G61" s="197">
        <v>0</v>
      </c>
      <c r="H61" s="197">
        <v>0</v>
      </c>
      <c r="I61" s="197" t="str">
        <f>IF('Product formulation'!C4="","0",VLOOKUP('Product formulation'!C4,Hoja2!$B$3:$E$13,3,FALSE))</f>
        <v>0</v>
      </c>
      <c r="J61" s="197" t="str">
        <f>IF('Product formulation'!C4="","0",VLOOKUP('Product formulation'!C4,Hoja2!$B$3:$E$13,4,FALSE))</f>
        <v>0</v>
      </c>
    </row>
    <row r="62" spans="1:10" ht="15.6">
      <c r="B62" s="241" t="s">
        <v>0</v>
      </c>
      <c r="E62" s="165" t="s">
        <v>77</v>
      </c>
      <c r="F62" s="197" t="str">
        <f>IF(OR(F61&gt;F60,F61=F60),"Ok","No ok")</f>
        <v>Ok</v>
      </c>
      <c r="G62" s="197" t="str">
        <f t="shared" ref="G62:J62" si="2">IF(OR(G61&gt;G60,G61=G60),"Ok","No ok")</f>
        <v>Ok</v>
      </c>
      <c r="H62" s="197" t="str">
        <f t="shared" si="2"/>
        <v>Ok</v>
      </c>
      <c r="I62" s="197" t="str">
        <f t="shared" si="2"/>
        <v>Ok</v>
      </c>
      <c r="J62" s="197" t="str">
        <f t="shared" si="2"/>
        <v>Ok</v>
      </c>
    </row>
    <row r="64" spans="1:10">
      <c r="B64" s="1" t="s">
        <v>31</v>
      </c>
    </row>
    <row r="65" spans="2:8">
      <c r="B65" s="304"/>
      <c r="C65" s="305"/>
      <c r="D65" s="305"/>
      <c r="E65" s="305"/>
      <c r="F65" s="305"/>
      <c r="G65" s="305"/>
      <c r="H65" s="306"/>
    </row>
    <row r="66" spans="2:8">
      <c r="B66" s="307"/>
      <c r="C66" s="308"/>
      <c r="D66" s="308"/>
      <c r="E66" s="308"/>
      <c r="F66" s="308"/>
      <c r="G66" s="308"/>
      <c r="H66" s="309"/>
    </row>
    <row r="67" spans="2:8">
      <c r="B67" s="307"/>
      <c r="C67" s="308"/>
      <c r="D67" s="308"/>
      <c r="E67" s="308"/>
      <c r="F67" s="308"/>
      <c r="G67" s="308"/>
      <c r="H67" s="309"/>
    </row>
    <row r="68" spans="2:8">
      <c r="B68" s="310"/>
      <c r="C68" s="311"/>
      <c r="D68" s="311"/>
      <c r="E68" s="311"/>
      <c r="F68" s="311"/>
      <c r="G68" s="311"/>
      <c r="H68" s="312"/>
    </row>
  </sheetData>
  <sheetProtection algorithmName="SHA-512" hashValue="+Bnjxy4NfX4WoPT3RiBMJxNI8iQYhniOKD3IQSPVJt/z4LQv2sEiXHUtGqlR7z0usUSFIVo5na0/lRNjIvpI+g==" saltValue="ILlSojyy4CRfIbbJdZt0TA==" spinCount="100000" sheet="1" selectLockedCells="1"/>
  <autoFilter ref="B8:B62" xr:uid="{00000000-0009-0000-0000-000005000000}"/>
  <mergeCells count="5">
    <mergeCell ref="B65:H68"/>
    <mergeCell ref="B1:D1"/>
    <mergeCell ref="C2:D2"/>
    <mergeCell ref="C3:D3"/>
    <mergeCell ref="C4:D4"/>
  </mergeCells>
  <conditionalFormatting sqref="F62">
    <cfRule type="beginsWith" dxfId="118" priority="3" operator="beginsWith" text="No">
      <formula>LEFT(F62,LEN("No"))="No"</formula>
    </cfRule>
    <cfRule type="beginsWith" dxfId="117" priority="4" operator="beginsWith" text="Ok">
      <formula>LEFT(F62,LEN("Ok"))="Ok"</formula>
    </cfRule>
  </conditionalFormatting>
  <conditionalFormatting sqref="G62:J62">
    <cfRule type="beginsWith" dxfId="116" priority="1" operator="beginsWith" text="No">
      <formula>LEFT(G62,LEN("No"))="No"</formula>
    </cfRule>
    <cfRule type="beginsWith" dxfId="115" priority="2" operator="beginsWith" text="Ok">
      <formula>LEFT(G62,LEN("Ok"))="Ok"</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outlinePr showOutlineSymbols="0"/>
  </sheetPr>
  <dimension ref="A1:J68"/>
  <sheetViews>
    <sheetView showOutlineSymbols="0" zoomScaleNormal="100" workbookViewId="0">
      <selection activeCell="B65" sqref="B65:H68"/>
    </sheetView>
  </sheetViews>
  <sheetFormatPr defaultColWidth="11.44140625" defaultRowHeight="13.2"/>
  <cols>
    <col min="1" max="1" width="5.44140625" style="1" customWidth="1"/>
    <col min="2" max="2" width="30.6640625" style="1" customWidth="1"/>
    <col min="3" max="3" width="20.33203125" style="1" bestFit="1" customWidth="1"/>
    <col min="4" max="4" width="20.6640625" style="1" customWidth="1"/>
    <col min="5" max="5" width="21.88671875" style="1" customWidth="1"/>
    <col min="6" max="6" width="20.6640625" style="1" customWidth="1"/>
    <col min="7" max="8" width="21.88671875" style="1" customWidth="1"/>
    <col min="9" max="9" width="16" style="1" customWidth="1"/>
    <col min="10" max="10" width="12.109375" style="1" customWidth="1"/>
    <col min="11" max="16384" width="11.44140625" style="1"/>
  </cols>
  <sheetData>
    <row r="1" spans="1:10">
      <c r="B1" s="314" t="s">
        <v>42</v>
      </c>
      <c r="C1" s="315"/>
      <c r="D1" s="315"/>
      <c r="E1" s="104"/>
    </row>
    <row r="2" spans="1:10">
      <c r="B2" s="102" t="s">
        <v>26</v>
      </c>
      <c r="C2" s="327" t="str">
        <f>'Product formulation'!C2</f>
        <v/>
      </c>
      <c r="D2" s="327"/>
      <c r="E2" s="24"/>
    </row>
    <row r="3" spans="1:10">
      <c r="B3" s="102" t="s">
        <v>4</v>
      </c>
      <c r="C3" s="327" t="str">
        <f>'Product formulation'!C3</f>
        <v/>
      </c>
      <c r="D3" s="327"/>
      <c r="E3" s="24"/>
    </row>
    <row r="4" spans="1:10">
      <c r="B4" s="103" t="s">
        <v>27</v>
      </c>
      <c r="C4" s="328" t="str">
        <f>'Product formulation'!C4</f>
        <v/>
      </c>
      <c r="D4" s="328"/>
      <c r="E4" s="24"/>
    </row>
    <row r="6" spans="1:10" s="193" customFormat="1" ht="15.6">
      <c r="A6" s="193" t="s">
        <v>85</v>
      </c>
    </row>
    <row r="7" spans="1:10">
      <c r="C7" s="56"/>
    </row>
    <row r="8" spans="1:10" s="2" customFormat="1" ht="52.8">
      <c r="A8" s="4"/>
      <c r="B8" s="189" t="s">
        <v>43</v>
      </c>
      <c r="C8" s="189" t="s">
        <v>49</v>
      </c>
      <c r="D8" s="189" t="s">
        <v>72</v>
      </c>
      <c r="E8" s="189" t="s">
        <v>86</v>
      </c>
      <c r="F8" s="189" t="s">
        <v>88</v>
      </c>
      <c r="G8" s="189" t="s">
        <v>89</v>
      </c>
      <c r="H8" s="189" t="s">
        <v>90</v>
      </c>
      <c r="I8" s="1"/>
      <c r="J8" s="1"/>
    </row>
    <row r="9" spans="1:10" s="2" customFormat="1" ht="26.4">
      <c r="A9" s="4"/>
      <c r="B9" s="240" t="s">
        <v>0</v>
      </c>
      <c r="C9" s="194" t="s">
        <v>37</v>
      </c>
      <c r="D9" s="194" t="s">
        <v>73</v>
      </c>
      <c r="E9" s="194" t="s">
        <v>87</v>
      </c>
      <c r="F9" s="194" t="s">
        <v>87</v>
      </c>
      <c r="G9" s="194" t="s">
        <v>87</v>
      </c>
      <c r="H9" s="194" t="s">
        <v>87</v>
      </c>
      <c r="I9" s="1"/>
      <c r="J9" s="1"/>
    </row>
    <row r="10" spans="1:10">
      <c r="A10" s="5">
        <v>1</v>
      </c>
      <c r="B10" s="15" t="s">
        <v>29</v>
      </c>
      <c r="C10" s="15">
        <f>'Rinse-off - DID'!G10</f>
        <v>0</v>
      </c>
      <c r="D10" s="15"/>
      <c r="E10" s="6"/>
      <c r="F10" s="15"/>
      <c r="G10" s="6"/>
      <c r="H10" s="6"/>
    </row>
    <row r="11" spans="1:10">
      <c r="A11" s="5">
        <v>2</v>
      </c>
      <c r="B11" s="6" t="str">
        <f>'Leave-on - DID'!B11</f>
        <v/>
      </c>
      <c r="C11" s="15" t="str">
        <f>IF(B11="","",'Leave-on - DID'!G11)</f>
        <v/>
      </c>
      <c r="D11" s="6" t="str">
        <f>IF(B11="","",IF('Ingoing substances'!V11="Yes",C11,""))</f>
        <v/>
      </c>
      <c r="E11" s="16" t="str">
        <f>IF(B11="","",IF('Leave-on - DID'!M11="R",'Leave-on - DID'!G11,""))</f>
        <v/>
      </c>
      <c r="F11" s="6" t="str">
        <f>IF(AND(OR('Leave-on - DID'!K11&gt;10,'Leave-on - DID'!L11&gt;0.1),'Leave-on - DID'!N11="No bioaccumulable"),'Leave-on - DID'!G11,"")</f>
        <v/>
      </c>
      <c r="G11" s="6" t="str">
        <f>IF(AND(OR('Leave-on - DID'!K11&gt;10,'Leave-on - DID'!L11&gt;0.1),'Leave-on - DID'!M11="I"),'Leave-on - DID'!G11,"")</f>
        <v/>
      </c>
      <c r="H11" s="16" t="str">
        <f>IF(AND(OR('Leave-on - DID'!K11&gt;10,'Leave-on - DID'!L11&gt;0.1),'Leave-on - DID'!N11="No bioavailable"),'Leave-on - DID'!G11,"")</f>
        <v/>
      </c>
    </row>
    <row r="12" spans="1:10">
      <c r="A12" s="5">
        <v>3</v>
      </c>
      <c r="B12" s="6" t="str">
        <f>'Rinse-off - DID'!B12</f>
        <v/>
      </c>
      <c r="C12" s="15" t="str">
        <f>IF(B12="","",'Rinse-off - DID'!G12)</f>
        <v/>
      </c>
      <c r="D12" s="6" t="str">
        <f>IF(B12="","",IF('Ingoing substances'!V12="Yes",C12,""))</f>
        <v/>
      </c>
      <c r="E12" s="16" t="str">
        <f>IF(B12="","",IF('Leave-on - DID'!M12="R",'Leave-on - DID'!G12,""))</f>
        <v/>
      </c>
      <c r="F12" s="6" t="str">
        <f>IF(AND(OR('Leave-on - DID'!K12&gt;10,'Leave-on - DID'!L12&gt;0.1),'Leave-on - DID'!N12="No bioaccumulable"),'Leave-on - DID'!G12,"")</f>
        <v/>
      </c>
      <c r="G12" s="6" t="str">
        <f>IF(AND(OR('Leave-on - DID'!K12&gt;10,'Leave-on - DID'!L12&gt;0.1),'Leave-on - DID'!M12="I"),'Leave-on - DID'!G12,"")</f>
        <v/>
      </c>
      <c r="H12" s="16" t="str">
        <f>IF(AND(OR('Leave-on - DID'!K12&gt;10,'Leave-on - DID'!L12&gt;0.1),'Leave-on - DID'!N12="No bioavailable"),'Leave-on - DID'!G12,"")</f>
        <v/>
      </c>
    </row>
    <row r="13" spans="1:10">
      <c r="A13" s="5">
        <v>4</v>
      </c>
      <c r="B13" s="6" t="str">
        <f>'Rinse-off - DID'!B13</f>
        <v/>
      </c>
      <c r="C13" s="15" t="str">
        <f>IF(B13="","",'Rinse-off - DID'!G13)</f>
        <v/>
      </c>
      <c r="D13" s="6" t="str">
        <f>IF(B13="","",IF('Ingoing substances'!V13="Yes",C13,""))</f>
        <v/>
      </c>
      <c r="E13" s="16" t="str">
        <f>IF(B13="","",IF('Leave-on - DID'!M13="R",'Leave-on - DID'!G13,""))</f>
        <v/>
      </c>
      <c r="F13" s="6" t="str">
        <f>IF(AND(OR('Leave-on - DID'!K13&gt;10,'Leave-on - DID'!L13&gt;0.1),'Leave-on - DID'!N13="No bioaccumulable"),'Leave-on - DID'!G13,"")</f>
        <v/>
      </c>
      <c r="G13" s="6" t="str">
        <f>IF(AND(OR('Leave-on - DID'!K13&gt;10,'Leave-on - DID'!L13&gt;0.1),'Leave-on - DID'!M13="I"),'Leave-on - DID'!G13,"")</f>
        <v/>
      </c>
      <c r="H13" s="16" t="str">
        <f>IF(AND(OR('Leave-on - DID'!K13&gt;10,'Leave-on - DID'!L13&gt;0.1),'Leave-on - DID'!N13="No bioavailable"),'Leave-on - DID'!G13,"")</f>
        <v/>
      </c>
    </row>
    <row r="14" spans="1:10">
      <c r="A14" s="5">
        <v>5</v>
      </c>
      <c r="B14" s="6" t="str">
        <f>'Rinse-off - DID'!B14</f>
        <v/>
      </c>
      <c r="C14" s="15" t="str">
        <f>IF(B14="","",'Rinse-off - DID'!G14)</f>
        <v/>
      </c>
      <c r="D14" s="6" t="str">
        <f>IF(B14="","",IF('Ingoing substances'!V14="Yes",C14,""))</f>
        <v/>
      </c>
      <c r="E14" s="16" t="str">
        <f>IF(B14="","",IF('Leave-on - DID'!M14="R",'Leave-on - DID'!G14,""))</f>
        <v/>
      </c>
      <c r="F14" s="6" t="str">
        <f>IF(AND(OR('Leave-on - DID'!K14&gt;10,'Leave-on - DID'!L14&gt;0.1),'Leave-on - DID'!N14="No bioaccumulable"),'Leave-on - DID'!G14,"")</f>
        <v/>
      </c>
      <c r="G14" s="6" t="str">
        <f>IF(AND(OR('Leave-on - DID'!K14&gt;10,'Leave-on - DID'!L14&gt;0.1),'Leave-on - DID'!M14="I"),'Leave-on - DID'!G14,"")</f>
        <v/>
      </c>
      <c r="H14" s="16" t="str">
        <f>IF(AND(OR('Leave-on - DID'!K14&gt;10,'Leave-on - DID'!L14&gt;0.1),'Leave-on - DID'!N14="No bioavailable"),'Leave-on - DID'!G14,"")</f>
        <v/>
      </c>
    </row>
    <row r="15" spans="1:10">
      <c r="A15" s="5">
        <v>6</v>
      </c>
      <c r="B15" s="6" t="str">
        <f>'Rinse-off - DID'!B15</f>
        <v/>
      </c>
      <c r="C15" s="15" t="str">
        <f>IF(B15="","",'Rinse-off - DID'!G15)</f>
        <v/>
      </c>
      <c r="D15" s="6" t="str">
        <f>IF(B15="","",IF('Ingoing substances'!V15="Yes",C15,""))</f>
        <v/>
      </c>
      <c r="E15" s="16" t="str">
        <f>IF(B15="","",IF('Leave-on - DID'!M15="R",'Leave-on - DID'!G15,""))</f>
        <v/>
      </c>
      <c r="F15" s="6" t="str">
        <f>IF(AND(OR('Leave-on - DID'!K15&gt;10,'Leave-on - DID'!L15&gt;0.1),'Leave-on - DID'!N15="No bioaccumulable"),'Leave-on - DID'!G15,"")</f>
        <v/>
      </c>
      <c r="G15" s="6" t="str">
        <f>IF(AND(OR('Leave-on - DID'!K15&gt;10,'Leave-on - DID'!L15&gt;0.1),'Leave-on - DID'!M15="I"),'Leave-on - DID'!G15,"")</f>
        <v/>
      </c>
      <c r="H15" s="16" t="str">
        <f>IF(AND(OR('Leave-on - DID'!K15&gt;10,'Leave-on - DID'!L15&gt;0.1),'Leave-on - DID'!N15="No bioavailable"),'Leave-on - DID'!G15,"")</f>
        <v/>
      </c>
    </row>
    <row r="16" spans="1:10">
      <c r="A16" s="5">
        <v>7</v>
      </c>
      <c r="B16" s="6" t="str">
        <f>'Rinse-off - DID'!B16</f>
        <v/>
      </c>
      <c r="C16" s="15" t="str">
        <f>IF(B16="","",'Rinse-off - DID'!G16)</f>
        <v/>
      </c>
      <c r="D16" s="6" t="str">
        <f>IF(B16="","",IF('Ingoing substances'!V16="Yes",C16,""))</f>
        <v/>
      </c>
      <c r="E16" s="16" t="str">
        <f>IF(B16="","",IF('Leave-on - DID'!M16="R",'Leave-on - DID'!G16,""))</f>
        <v/>
      </c>
      <c r="F16" s="6" t="str">
        <f>IF(AND(OR('Leave-on - DID'!K16&gt;10,'Leave-on - DID'!L16&gt;0.1),'Leave-on - DID'!N16="No bioaccumulable"),'Leave-on - DID'!G16,"")</f>
        <v/>
      </c>
      <c r="G16" s="6" t="str">
        <f>IF(AND(OR('Leave-on - DID'!K16&gt;10,'Leave-on - DID'!L16&gt;0.1),'Leave-on - DID'!M16="I"),'Leave-on - DID'!G16,"")</f>
        <v/>
      </c>
      <c r="H16" s="16" t="str">
        <f>IF(AND(OR('Leave-on - DID'!K16&gt;10,'Leave-on - DID'!L16&gt;0.1),'Leave-on - DID'!N16="No bioavailable"),'Leave-on - DID'!G16,"")</f>
        <v/>
      </c>
    </row>
    <row r="17" spans="1:8">
      <c r="A17" s="5">
        <v>8</v>
      </c>
      <c r="B17" s="6" t="str">
        <f>'Rinse-off - DID'!B17</f>
        <v/>
      </c>
      <c r="C17" s="15" t="str">
        <f>IF(B17="","",'Rinse-off - DID'!G17)</f>
        <v/>
      </c>
      <c r="D17" s="6" t="str">
        <f>IF(B17="","",IF('Ingoing substances'!V17="Yes",C17,""))</f>
        <v/>
      </c>
      <c r="E17" s="16" t="str">
        <f>IF(B17="","",IF('Leave-on - DID'!M17="R",'Leave-on - DID'!G17,""))</f>
        <v/>
      </c>
      <c r="F17" s="6" t="str">
        <f>IF(AND(OR('Leave-on - DID'!K17&gt;10,'Leave-on - DID'!L17&gt;0.1),'Leave-on - DID'!N17="No bioaccumulable"),'Leave-on - DID'!G17,"")</f>
        <v/>
      </c>
      <c r="G17" s="6" t="str">
        <f>IF(AND(OR('Leave-on - DID'!K17&gt;10,'Leave-on - DID'!L17&gt;0.1),'Leave-on - DID'!M17="I"),'Leave-on - DID'!G17,"")</f>
        <v/>
      </c>
      <c r="H17" s="16" t="str">
        <f>IF(AND(OR('Leave-on - DID'!K17&gt;10,'Leave-on - DID'!L17&gt;0.1),'Leave-on - DID'!N17="No bioavailable"),'Leave-on - DID'!G17,"")</f>
        <v/>
      </c>
    </row>
    <row r="18" spans="1:8">
      <c r="A18" s="5">
        <v>9</v>
      </c>
      <c r="B18" s="6" t="str">
        <f>'Rinse-off - DID'!B18</f>
        <v/>
      </c>
      <c r="C18" s="15" t="str">
        <f>IF(B18="","",'Rinse-off - DID'!G18)</f>
        <v/>
      </c>
      <c r="D18" s="6" t="str">
        <f>IF(B18="","",IF('Ingoing substances'!V18="Yes",C18,""))</f>
        <v/>
      </c>
      <c r="E18" s="16" t="str">
        <f>IF(B18="","",IF('Leave-on - DID'!M18="R",'Leave-on - DID'!G18,""))</f>
        <v/>
      </c>
      <c r="F18" s="6" t="str">
        <f>IF(AND(OR('Leave-on - DID'!K18&gt;10,'Leave-on - DID'!L18&gt;0.1),'Leave-on - DID'!N18="No bioaccumulable"),'Leave-on - DID'!G18,"")</f>
        <v/>
      </c>
      <c r="G18" s="6" t="str">
        <f>IF(AND(OR('Leave-on - DID'!K18&gt;10,'Leave-on - DID'!L18&gt;0.1),'Leave-on - DID'!M18="I"),'Leave-on - DID'!G18,"")</f>
        <v/>
      </c>
      <c r="H18" s="16" t="str">
        <f>IF(AND(OR('Leave-on - DID'!K18&gt;10,'Leave-on - DID'!L18&gt;0.1),'Leave-on - DID'!N18="No bioavailable"),'Leave-on - DID'!G18,"")</f>
        <v/>
      </c>
    </row>
    <row r="19" spans="1:8">
      <c r="A19" s="5">
        <v>10</v>
      </c>
      <c r="B19" s="6" t="str">
        <f>'Rinse-off - DID'!B19</f>
        <v/>
      </c>
      <c r="C19" s="15" t="str">
        <f>IF(B19="","",'Rinse-off - DID'!G19)</f>
        <v/>
      </c>
      <c r="D19" s="6" t="str">
        <f>IF(B19="","",IF('Ingoing substances'!V19="Yes",C19,""))</f>
        <v/>
      </c>
      <c r="E19" s="16" t="str">
        <f>IF(B19="","",IF('Leave-on - DID'!M19="R",'Leave-on - DID'!G19,""))</f>
        <v/>
      </c>
      <c r="F19" s="6" t="str">
        <f>IF(AND(OR('Leave-on - DID'!K19&gt;10,'Leave-on - DID'!L19&gt;0.1),'Leave-on - DID'!N19="No bioaccumulable"),'Leave-on - DID'!G19,"")</f>
        <v/>
      </c>
      <c r="G19" s="6" t="str">
        <f>IF(AND(OR('Leave-on - DID'!K19&gt;10,'Leave-on - DID'!L19&gt;0.1),'Leave-on - DID'!M19="I"),'Leave-on - DID'!G19,"")</f>
        <v/>
      </c>
      <c r="H19" s="16" t="str">
        <f>IF(AND(OR('Leave-on - DID'!K19&gt;10,'Leave-on - DID'!L19&gt;0.1),'Leave-on - DID'!N19="No bioavailable"),'Leave-on - DID'!G19,"")</f>
        <v/>
      </c>
    </row>
    <row r="20" spans="1:8">
      <c r="A20" s="5">
        <v>11</v>
      </c>
      <c r="B20" s="6" t="str">
        <f>'Rinse-off - DID'!B20</f>
        <v/>
      </c>
      <c r="C20" s="15" t="str">
        <f>IF(B20="","",'Rinse-off - DID'!G20)</f>
        <v/>
      </c>
      <c r="D20" s="6" t="str">
        <f>IF(B20="","",IF('Ingoing substances'!V20="Yes",C20,""))</f>
        <v/>
      </c>
      <c r="E20" s="16" t="str">
        <f>IF(B20="","",IF('Leave-on - DID'!M20="R",'Leave-on - DID'!G20,""))</f>
        <v/>
      </c>
      <c r="F20" s="6" t="str">
        <f>IF(AND(OR('Leave-on - DID'!K20&gt;10,'Leave-on - DID'!L20&gt;0.1),'Leave-on - DID'!N20="No bioaccumulable"),'Leave-on - DID'!G20,"")</f>
        <v/>
      </c>
      <c r="G20" s="6" t="str">
        <f>IF(AND(OR('Leave-on - DID'!K20&gt;10,'Leave-on - DID'!L20&gt;0.1),'Leave-on - DID'!M20="I"),'Leave-on - DID'!G20,"")</f>
        <v/>
      </c>
      <c r="H20" s="16" t="str">
        <f>IF(AND(OR('Leave-on - DID'!K20&gt;10,'Leave-on - DID'!L20&gt;0.1),'Leave-on - DID'!N20="No bioavailable"),'Leave-on - DID'!G20,"")</f>
        <v/>
      </c>
    </row>
    <row r="21" spans="1:8">
      <c r="A21" s="5">
        <v>12</v>
      </c>
      <c r="B21" s="6" t="str">
        <f>'Rinse-off - DID'!B21</f>
        <v/>
      </c>
      <c r="C21" s="15" t="str">
        <f>IF(B21="","",'Rinse-off - DID'!G21)</f>
        <v/>
      </c>
      <c r="D21" s="6" t="str">
        <f>IF(B21="","",IF('Ingoing substances'!V21="Yes",C21,""))</f>
        <v/>
      </c>
      <c r="E21" s="16" t="str">
        <f>IF(B21="","",IF('Leave-on - DID'!M21="R",'Leave-on - DID'!G21,""))</f>
        <v/>
      </c>
      <c r="F21" s="6" t="str">
        <f>IF(AND(OR('Leave-on - DID'!K21&gt;10,'Leave-on - DID'!L21&gt;0.1),'Leave-on - DID'!N21="No bioaccumulable"),'Leave-on - DID'!G21,"")</f>
        <v/>
      </c>
      <c r="G21" s="6" t="str">
        <f>IF(AND(OR('Leave-on - DID'!K21&gt;10,'Leave-on - DID'!L21&gt;0.1),'Leave-on - DID'!M21="I"),'Leave-on - DID'!G21,"")</f>
        <v/>
      </c>
      <c r="H21" s="16" t="str">
        <f>IF(AND(OR('Leave-on - DID'!K21&gt;10,'Leave-on - DID'!L21&gt;0.1),'Leave-on - DID'!N21="No bioavailable"),'Leave-on - DID'!G21,"")</f>
        <v/>
      </c>
    </row>
    <row r="22" spans="1:8">
      <c r="A22" s="5">
        <v>13</v>
      </c>
      <c r="B22" s="6" t="str">
        <f>'Rinse-off - DID'!B22</f>
        <v/>
      </c>
      <c r="C22" s="15" t="str">
        <f>IF(B22="","",'Rinse-off - DID'!G22)</f>
        <v/>
      </c>
      <c r="D22" s="6" t="str">
        <f>IF(B22="","",IF('Ingoing substances'!V22="Yes",C22,""))</f>
        <v/>
      </c>
      <c r="E22" s="16" t="str">
        <f>IF(B22="","",IF('Leave-on - DID'!M22="R",'Leave-on - DID'!G22,""))</f>
        <v/>
      </c>
      <c r="F22" s="6" t="str">
        <f>IF(AND(OR('Leave-on - DID'!K22&gt;10,'Leave-on - DID'!L22&gt;0.1),'Leave-on - DID'!N22="No bioaccumulable"),'Leave-on - DID'!G22,"")</f>
        <v/>
      </c>
      <c r="G22" s="6" t="str">
        <f>IF(AND(OR('Leave-on - DID'!K22&gt;10,'Leave-on - DID'!L22&gt;0.1),'Leave-on - DID'!M22="I"),'Leave-on - DID'!G22,"")</f>
        <v/>
      </c>
      <c r="H22" s="16" t="str">
        <f>IF(AND(OR('Leave-on - DID'!K22&gt;10,'Leave-on - DID'!L22&gt;0.1),'Leave-on - DID'!N22="No bioavailable"),'Leave-on - DID'!G22,"")</f>
        <v/>
      </c>
    </row>
    <row r="23" spans="1:8">
      <c r="A23" s="5">
        <v>14</v>
      </c>
      <c r="B23" s="6" t="str">
        <f>'Rinse-off - DID'!B23</f>
        <v/>
      </c>
      <c r="C23" s="15" t="str">
        <f>IF(B23="","",'Rinse-off - DID'!G23)</f>
        <v/>
      </c>
      <c r="D23" s="6" t="str">
        <f>IF(B23="","",IF('Ingoing substances'!V23="Yes",C23,""))</f>
        <v/>
      </c>
      <c r="E23" s="16" t="str">
        <f>IF(B23="","",IF('Leave-on - DID'!M23="R",'Leave-on - DID'!G23,""))</f>
        <v/>
      </c>
      <c r="F23" s="6" t="str">
        <f>IF(AND(OR('Leave-on - DID'!K23&gt;10,'Leave-on - DID'!L23&gt;0.1),'Leave-on - DID'!N23="No bioaccumulable"),'Leave-on - DID'!G23,"")</f>
        <v/>
      </c>
      <c r="G23" s="6" t="str">
        <f>IF(AND(OR('Leave-on - DID'!K23&gt;10,'Leave-on - DID'!L23&gt;0.1),'Leave-on - DID'!M23="I"),'Leave-on - DID'!G23,"")</f>
        <v/>
      </c>
      <c r="H23" s="16" t="str">
        <f>IF(AND(OR('Leave-on - DID'!K23&gt;10,'Leave-on - DID'!L23&gt;0.1),'Leave-on - DID'!N23="No bioavailable"),'Leave-on - DID'!G23,"")</f>
        <v/>
      </c>
    </row>
    <row r="24" spans="1:8">
      <c r="A24" s="5">
        <v>15</v>
      </c>
      <c r="B24" s="6" t="str">
        <f>'Rinse-off - DID'!B24</f>
        <v/>
      </c>
      <c r="C24" s="15" t="str">
        <f>IF(B24="","",'Rinse-off - DID'!G24)</f>
        <v/>
      </c>
      <c r="D24" s="6" t="str">
        <f>IF(B24="","",IF('Ingoing substances'!V24="Yes",C24,""))</f>
        <v/>
      </c>
      <c r="E24" s="16" t="str">
        <f>IF(B24="","",IF('Leave-on - DID'!M24="R",'Leave-on - DID'!G24,""))</f>
        <v/>
      </c>
      <c r="F24" s="6" t="str">
        <f>IF(AND(OR('Leave-on - DID'!K24&gt;10,'Leave-on - DID'!L24&gt;0.1),'Leave-on - DID'!N24="No bioaccumulable"),'Leave-on - DID'!G24,"")</f>
        <v/>
      </c>
      <c r="G24" s="6" t="str">
        <f>IF(AND(OR('Leave-on - DID'!K24&gt;10,'Leave-on - DID'!L24&gt;0.1),'Leave-on - DID'!M24="I"),'Leave-on - DID'!G24,"")</f>
        <v/>
      </c>
      <c r="H24" s="16" t="str">
        <f>IF(AND(OR('Leave-on - DID'!K24&gt;10,'Leave-on - DID'!L24&gt;0.1),'Leave-on - DID'!N24="No bioavailable"),'Leave-on - DID'!G24,"")</f>
        <v/>
      </c>
    </row>
    <row r="25" spans="1:8">
      <c r="A25" s="5">
        <v>16</v>
      </c>
      <c r="B25" s="6" t="str">
        <f>'Rinse-off - DID'!B25</f>
        <v/>
      </c>
      <c r="C25" s="15" t="str">
        <f>IF(B25="","",'Rinse-off - DID'!G25)</f>
        <v/>
      </c>
      <c r="D25" s="6" t="str">
        <f>IF(B25="","",IF('Ingoing substances'!V25="Yes",C25,""))</f>
        <v/>
      </c>
      <c r="E25" s="16" t="str">
        <f>IF(B25="","",IF('Leave-on - DID'!M25="R",'Leave-on - DID'!G25,""))</f>
        <v/>
      </c>
      <c r="F25" s="6" t="str">
        <f>IF(AND(OR('Leave-on - DID'!K25&gt;10,'Leave-on - DID'!L25&gt;0.1),'Leave-on - DID'!N25="No bioaccumulable"),'Leave-on - DID'!G25,"")</f>
        <v/>
      </c>
      <c r="G25" s="6" t="str">
        <f>IF(AND(OR('Leave-on - DID'!K25&gt;10,'Leave-on - DID'!L25&gt;0.1),'Leave-on - DID'!M25="I"),'Leave-on - DID'!G25,"")</f>
        <v/>
      </c>
      <c r="H25" s="16" t="str">
        <f>IF(AND(OR('Leave-on - DID'!K25&gt;10,'Leave-on - DID'!L25&gt;0.1),'Leave-on - DID'!N25="No bioavailable"),'Leave-on - DID'!G25,"")</f>
        <v/>
      </c>
    </row>
    <row r="26" spans="1:8">
      <c r="A26" s="5">
        <v>17</v>
      </c>
      <c r="B26" s="6" t="str">
        <f>'Rinse-off - DID'!B26</f>
        <v/>
      </c>
      <c r="C26" s="15" t="str">
        <f>IF(B26="","",'Rinse-off - DID'!G26)</f>
        <v/>
      </c>
      <c r="D26" s="6" t="str">
        <f>IF(B26="","",IF('Ingoing substances'!V26="Yes",C26,""))</f>
        <v/>
      </c>
      <c r="E26" s="16" t="str">
        <f>IF(B26="","",IF('Leave-on - DID'!M26="R",'Leave-on - DID'!G26,""))</f>
        <v/>
      </c>
      <c r="F26" s="6" t="str">
        <f>IF(AND(OR('Leave-on - DID'!K26&gt;10,'Leave-on - DID'!L26&gt;0.1),'Leave-on - DID'!N26="No bioaccumulable"),'Leave-on - DID'!G26,"")</f>
        <v/>
      </c>
      <c r="G26" s="6" t="str">
        <f>IF(AND(OR('Leave-on - DID'!K26&gt;10,'Leave-on - DID'!L26&gt;0.1),'Leave-on - DID'!M26="I"),'Leave-on - DID'!G26,"")</f>
        <v/>
      </c>
      <c r="H26" s="16" t="str">
        <f>IF(AND(OR('Leave-on - DID'!K26&gt;10,'Leave-on - DID'!L26&gt;0.1),'Leave-on - DID'!N26="No bioavailable"),'Leave-on - DID'!G26,"")</f>
        <v/>
      </c>
    </row>
    <row r="27" spans="1:8">
      <c r="A27" s="5">
        <v>18</v>
      </c>
      <c r="B27" s="6" t="str">
        <f>'Rinse-off - DID'!B27</f>
        <v/>
      </c>
      <c r="C27" s="15" t="str">
        <f>IF(B27="","",'Rinse-off - DID'!G27)</f>
        <v/>
      </c>
      <c r="D27" s="6" t="str">
        <f>IF(B27="","",IF('Ingoing substances'!V27="Yes",C27,""))</f>
        <v/>
      </c>
      <c r="E27" s="16" t="str">
        <f>IF(B27="","",IF('Leave-on - DID'!M27="R",'Leave-on - DID'!G27,""))</f>
        <v/>
      </c>
      <c r="F27" s="6" t="str">
        <f>IF(AND(OR('Leave-on - DID'!K27&gt;10,'Leave-on - DID'!L27&gt;0.1),'Leave-on - DID'!N27="No bioaccumulable"),'Leave-on - DID'!G27,"")</f>
        <v/>
      </c>
      <c r="G27" s="6" t="str">
        <f>IF(AND(OR('Leave-on - DID'!K27&gt;10,'Leave-on - DID'!L27&gt;0.1),'Leave-on - DID'!M27="I"),'Leave-on - DID'!G27,"")</f>
        <v/>
      </c>
      <c r="H27" s="16" t="str">
        <f>IF(AND(OR('Leave-on - DID'!K27&gt;10,'Leave-on - DID'!L27&gt;0.1),'Leave-on - DID'!N27="No bioavailable"),'Leave-on - DID'!G27,"")</f>
        <v/>
      </c>
    </row>
    <row r="28" spans="1:8">
      <c r="A28" s="5">
        <v>19</v>
      </c>
      <c r="B28" s="6" t="str">
        <f>'Rinse-off - DID'!B28</f>
        <v/>
      </c>
      <c r="C28" s="15" t="str">
        <f>IF(B28="","",'Rinse-off - DID'!G28)</f>
        <v/>
      </c>
      <c r="D28" s="6" t="str">
        <f>IF(B28="","",IF('Ingoing substances'!V28="Yes",C28,""))</f>
        <v/>
      </c>
      <c r="E28" s="16" t="str">
        <f>IF(B28="","",IF('Leave-on - DID'!M28="R",'Leave-on - DID'!G28,""))</f>
        <v/>
      </c>
      <c r="F28" s="6" t="str">
        <f>IF(AND(OR('Leave-on - DID'!K28&gt;10,'Leave-on - DID'!L28&gt;0.1),'Leave-on - DID'!N28="No bioaccumulable"),'Leave-on - DID'!G28,"")</f>
        <v/>
      </c>
      <c r="G28" s="6" t="str">
        <f>IF(AND(OR('Leave-on - DID'!K28&gt;10,'Leave-on - DID'!L28&gt;0.1),'Leave-on - DID'!M28="I"),'Leave-on - DID'!G28,"")</f>
        <v/>
      </c>
      <c r="H28" s="16" t="str">
        <f>IF(AND(OR('Leave-on - DID'!K28&gt;10,'Leave-on - DID'!L28&gt;0.1),'Leave-on - DID'!N28="No bioavailable"),'Leave-on - DID'!G28,"")</f>
        <v/>
      </c>
    </row>
    <row r="29" spans="1:8">
      <c r="A29" s="5">
        <v>20</v>
      </c>
      <c r="B29" s="6" t="str">
        <f>'Rinse-off - DID'!B29</f>
        <v/>
      </c>
      <c r="C29" s="15" t="str">
        <f>IF(B29="","",'Rinse-off - DID'!G29)</f>
        <v/>
      </c>
      <c r="D29" s="6" t="str">
        <f>IF(B29="","",IF('Ingoing substances'!V29="Yes",C29,""))</f>
        <v/>
      </c>
      <c r="E29" s="16" t="str">
        <f>IF(B29="","",IF('Leave-on - DID'!M29="R",'Leave-on - DID'!G29,""))</f>
        <v/>
      </c>
      <c r="F29" s="6" t="str">
        <f>IF(AND(OR('Leave-on - DID'!K29&gt;10,'Leave-on - DID'!L29&gt;0.1),'Leave-on - DID'!N29="No bioaccumulable"),'Leave-on - DID'!G29,"")</f>
        <v/>
      </c>
      <c r="G29" s="6" t="str">
        <f>IF(AND(OR('Leave-on - DID'!K29&gt;10,'Leave-on - DID'!L29&gt;0.1),'Leave-on - DID'!M29="I"),'Leave-on - DID'!G29,"")</f>
        <v/>
      </c>
      <c r="H29" s="16" t="str">
        <f>IF(AND(OR('Leave-on - DID'!K29&gt;10,'Leave-on - DID'!L29&gt;0.1),'Leave-on - DID'!N29="No bioavailable"),'Leave-on - DID'!G29,"")</f>
        <v/>
      </c>
    </row>
    <row r="30" spans="1:8">
      <c r="A30" s="5">
        <v>21</v>
      </c>
      <c r="B30" s="6" t="str">
        <f>'Rinse-off - DID'!B30</f>
        <v/>
      </c>
      <c r="C30" s="15" t="str">
        <f>IF(B30="","",'Rinse-off - DID'!G30)</f>
        <v/>
      </c>
      <c r="D30" s="6" t="str">
        <f>IF(B30="","",IF('Ingoing substances'!V30="Yes",C30,""))</f>
        <v/>
      </c>
      <c r="E30" s="16" t="str">
        <f>IF(B30="","",IF('Leave-on - DID'!M30="R",'Leave-on - DID'!G30,""))</f>
        <v/>
      </c>
      <c r="F30" s="6" t="str">
        <f>IF(AND(OR('Leave-on - DID'!K30&gt;10,'Leave-on - DID'!L30&gt;0.1),'Leave-on - DID'!N30="No bioaccumulable"),'Leave-on - DID'!G30,"")</f>
        <v/>
      </c>
      <c r="G30" s="6" t="str">
        <f>IF(AND(OR('Leave-on - DID'!K30&gt;10,'Leave-on - DID'!L30&gt;0.1),'Leave-on - DID'!M30="I"),'Leave-on - DID'!G30,"")</f>
        <v/>
      </c>
      <c r="H30" s="16" t="str">
        <f>IF(AND(OR('Leave-on - DID'!K30&gt;10,'Leave-on - DID'!L30&gt;0.1),'Leave-on - DID'!N30="No bioavailable"),'Leave-on - DID'!G30,"")</f>
        <v/>
      </c>
    </row>
    <row r="31" spans="1:8">
      <c r="A31" s="5">
        <v>22</v>
      </c>
      <c r="B31" s="6" t="str">
        <f>'Rinse-off - DID'!B31</f>
        <v/>
      </c>
      <c r="C31" s="15" t="str">
        <f>IF(B31="","",'Rinse-off - DID'!G31)</f>
        <v/>
      </c>
      <c r="D31" s="6" t="str">
        <f>IF(B31="","",IF('Ingoing substances'!V31="Yes",C31,""))</f>
        <v/>
      </c>
      <c r="E31" s="16" t="str">
        <f>IF(B31="","",IF('Leave-on - DID'!M31="R",'Leave-on - DID'!G31,""))</f>
        <v/>
      </c>
      <c r="F31" s="6" t="str">
        <f>IF(AND(OR('Leave-on - DID'!K31&gt;10,'Leave-on - DID'!L31&gt;0.1),'Leave-on - DID'!N31="No bioaccumulable"),'Leave-on - DID'!G31,"")</f>
        <v/>
      </c>
      <c r="G31" s="6" t="str">
        <f>IF(AND(OR('Leave-on - DID'!K31&gt;10,'Leave-on - DID'!L31&gt;0.1),'Leave-on - DID'!M31="I"),'Leave-on - DID'!G31,"")</f>
        <v/>
      </c>
      <c r="H31" s="16" t="str">
        <f>IF(AND(OR('Leave-on - DID'!K31&gt;10,'Leave-on - DID'!L31&gt;0.1),'Leave-on - DID'!N31="No bioavailable"),'Leave-on - DID'!G31,"")</f>
        <v/>
      </c>
    </row>
    <row r="32" spans="1:8">
      <c r="A32" s="5">
        <v>23</v>
      </c>
      <c r="B32" s="6" t="str">
        <f>'Rinse-off - DID'!B32</f>
        <v/>
      </c>
      <c r="C32" s="15" t="str">
        <f>IF(B32="","",'Rinse-off - DID'!G32)</f>
        <v/>
      </c>
      <c r="D32" s="6" t="str">
        <f>IF(B32="","",IF('Ingoing substances'!V32="Yes",C32,""))</f>
        <v/>
      </c>
      <c r="E32" s="16" t="str">
        <f>IF(B32="","",IF('Leave-on - DID'!M32="R",'Leave-on - DID'!G32,""))</f>
        <v/>
      </c>
      <c r="F32" s="6" t="str">
        <f>IF(AND(OR('Leave-on - DID'!K32&gt;10,'Leave-on - DID'!L32&gt;0.1),'Leave-on - DID'!N32="No bioaccumulable"),'Leave-on - DID'!G32,"")</f>
        <v/>
      </c>
      <c r="G32" s="6" t="str">
        <f>IF(AND(OR('Leave-on - DID'!K32&gt;10,'Leave-on - DID'!L32&gt;0.1),'Leave-on - DID'!M32="I"),'Leave-on - DID'!G32,"")</f>
        <v/>
      </c>
      <c r="H32" s="16" t="str">
        <f>IF(AND(OR('Leave-on - DID'!K32&gt;10,'Leave-on - DID'!L32&gt;0.1),'Leave-on - DID'!N32="No bioavailable"),'Leave-on - DID'!G32,"")</f>
        <v/>
      </c>
    </row>
    <row r="33" spans="1:8">
      <c r="A33" s="5">
        <v>24</v>
      </c>
      <c r="B33" s="6" t="str">
        <f>'Rinse-off - DID'!B33</f>
        <v/>
      </c>
      <c r="C33" s="15" t="str">
        <f>IF(B33="","",'Rinse-off - DID'!G33)</f>
        <v/>
      </c>
      <c r="D33" s="6" t="str">
        <f>IF(B33="","",IF('Ingoing substances'!V33="Yes",C33,""))</f>
        <v/>
      </c>
      <c r="E33" s="16" t="str">
        <f>IF(B33="","",IF('Leave-on - DID'!M33="R",'Leave-on - DID'!G33,""))</f>
        <v/>
      </c>
      <c r="F33" s="6" t="str">
        <f>IF(AND(OR('Leave-on - DID'!K33&gt;10,'Leave-on - DID'!L33&gt;0.1),'Leave-on - DID'!N33="No bioaccumulable"),'Leave-on - DID'!G33,"")</f>
        <v/>
      </c>
      <c r="G33" s="6" t="str">
        <f>IF(AND(OR('Leave-on - DID'!K33&gt;10,'Leave-on - DID'!L33&gt;0.1),'Leave-on - DID'!M33="I"),'Leave-on - DID'!G33,"")</f>
        <v/>
      </c>
      <c r="H33" s="16" t="str">
        <f>IF(AND(OR('Leave-on - DID'!K33&gt;10,'Leave-on - DID'!L33&gt;0.1),'Leave-on - DID'!N33="No bioavailable"),'Leave-on - DID'!G33,"")</f>
        <v/>
      </c>
    </row>
    <row r="34" spans="1:8">
      <c r="A34" s="5">
        <v>25</v>
      </c>
      <c r="B34" s="6" t="str">
        <f>'Rinse-off - DID'!B34</f>
        <v/>
      </c>
      <c r="C34" s="15" t="str">
        <f>IF(B34="","",'Rinse-off - DID'!G34)</f>
        <v/>
      </c>
      <c r="D34" s="6" t="str">
        <f>IF(B34="","",IF('Ingoing substances'!V34="Yes",C34,""))</f>
        <v/>
      </c>
      <c r="E34" s="16" t="str">
        <f>IF(B34="","",IF('Leave-on - DID'!M34="R",'Leave-on - DID'!G34,""))</f>
        <v/>
      </c>
      <c r="F34" s="6" t="str">
        <f>IF(AND(OR('Leave-on - DID'!K34&gt;10,'Leave-on - DID'!L34&gt;0.1),'Leave-on - DID'!N34="No bioaccumulable"),'Leave-on - DID'!G34,"")</f>
        <v/>
      </c>
      <c r="G34" s="6" t="str">
        <f>IF(AND(OR('Leave-on - DID'!K34&gt;10,'Leave-on - DID'!L34&gt;0.1),'Leave-on - DID'!M34="I"),'Leave-on - DID'!G34,"")</f>
        <v/>
      </c>
      <c r="H34" s="16" t="str">
        <f>IF(AND(OR('Leave-on - DID'!K34&gt;10,'Leave-on - DID'!L34&gt;0.1),'Leave-on - DID'!N34="No bioavailable"),'Leave-on - DID'!G34,"")</f>
        <v/>
      </c>
    </row>
    <row r="35" spans="1:8">
      <c r="A35" s="5">
        <v>26</v>
      </c>
      <c r="B35" s="6" t="str">
        <f>'Rinse-off - DID'!B35</f>
        <v/>
      </c>
      <c r="C35" s="15" t="str">
        <f>IF(B35="","",'Rinse-off - DID'!G35)</f>
        <v/>
      </c>
      <c r="D35" s="6" t="str">
        <f>IF(B35="","",IF('Ingoing substances'!V35="Yes",C35,""))</f>
        <v/>
      </c>
      <c r="E35" s="16" t="str">
        <f>IF(B35="","",IF('Leave-on - DID'!M35="R",'Leave-on - DID'!G35,""))</f>
        <v/>
      </c>
      <c r="F35" s="6" t="str">
        <f>IF(AND(OR('Leave-on - DID'!K35&gt;10,'Leave-on - DID'!L35&gt;0.1),'Leave-on - DID'!N35="No bioaccumulable"),'Leave-on - DID'!G35,"")</f>
        <v/>
      </c>
      <c r="G35" s="6" t="str">
        <f>IF(AND(OR('Leave-on - DID'!K35&gt;10,'Leave-on - DID'!L35&gt;0.1),'Leave-on - DID'!M35="I"),'Leave-on - DID'!G35,"")</f>
        <v/>
      </c>
      <c r="H35" s="16" t="str">
        <f>IF(AND(OR('Leave-on - DID'!K35&gt;10,'Leave-on - DID'!L35&gt;0.1),'Leave-on - DID'!N35="No bioavailable"),'Leave-on - DID'!G35,"")</f>
        <v/>
      </c>
    </row>
    <row r="36" spans="1:8">
      <c r="A36" s="5">
        <v>27</v>
      </c>
      <c r="B36" s="6" t="str">
        <f>'Rinse-off - DID'!B36</f>
        <v/>
      </c>
      <c r="C36" s="15" t="str">
        <f>IF(B36="","",'Rinse-off - DID'!G36)</f>
        <v/>
      </c>
      <c r="D36" s="6" t="str">
        <f>IF(B36="","",IF('Ingoing substances'!V36="Yes",C36,""))</f>
        <v/>
      </c>
      <c r="E36" s="16" t="str">
        <f>IF(B36="","",IF('Leave-on - DID'!M36="R",'Leave-on - DID'!G36,""))</f>
        <v/>
      </c>
      <c r="F36" s="6" t="str">
        <f>IF(AND(OR('Leave-on - DID'!K36&gt;10,'Leave-on - DID'!L36&gt;0.1),'Leave-on - DID'!N36="No bioaccumulable"),'Leave-on - DID'!G36,"")</f>
        <v/>
      </c>
      <c r="G36" s="6" t="str">
        <f>IF(AND(OR('Leave-on - DID'!K36&gt;10,'Leave-on - DID'!L36&gt;0.1),'Leave-on - DID'!M36="I"),'Leave-on - DID'!G36,"")</f>
        <v/>
      </c>
      <c r="H36" s="16" t="str">
        <f>IF(AND(OR('Leave-on - DID'!K36&gt;10,'Leave-on - DID'!L36&gt;0.1),'Leave-on - DID'!N36="No bioavailable"),'Leave-on - DID'!G36,"")</f>
        <v/>
      </c>
    </row>
    <row r="37" spans="1:8">
      <c r="A37" s="5">
        <v>28</v>
      </c>
      <c r="B37" s="6" t="str">
        <f>'Rinse-off - DID'!B37</f>
        <v/>
      </c>
      <c r="C37" s="15" t="str">
        <f>IF(B37="","",'Rinse-off - DID'!G37)</f>
        <v/>
      </c>
      <c r="D37" s="6" t="str">
        <f>IF(B37="","",IF('Ingoing substances'!V37="Yes",C37,""))</f>
        <v/>
      </c>
      <c r="E37" s="16" t="str">
        <f>IF(B37="","",IF('Leave-on - DID'!M37="R",'Leave-on - DID'!G37,""))</f>
        <v/>
      </c>
      <c r="F37" s="6" t="str">
        <f>IF(AND(OR('Leave-on - DID'!K37&gt;10,'Leave-on - DID'!L37&gt;0.1),'Leave-on - DID'!N37="No bioaccumulable"),'Leave-on - DID'!G37,"")</f>
        <v/>
      </c>
      <c r="G37" s="6" t="str">
        <f>IF(AND(OR('Leave-on - DID'!K37&gt;10,'Leave-on - DID'!L37&gt;0.1),'Leave-on - DID'!M37="I"),'Leave-on - DID'!G37,"")</f>
        <v/>
      </c>
      <c r="H37" s="16" t="str">
        <f>IF(AND(OR('Leave-on - DID'!K37&gt;10,'Leave-on - DID'!L37&gt;0.1),'Leave-on - DID'!N37="No bioavailable"),'Leave-on - DID'!G37,"")</f>
        <v/>
      </c>
    </row>
    <row r="38" spans="1:8">
      <c r="A38" s="5">
        <v>29</v>
      </c>
      <c r="B38" s="6" t="str">
        <f>'Rinse-off - DID'!B38</f>
        <v/>
      </c>
      <c r="C38" s="15" t="str">
        <f>IF(B38="","",'Rinse-off - DID'!G38)</f>
        <v/>
      </c>
      <c r="D38" s="6" t="str">
        <f>IF(B38="","",IF('Ingoing substances'!V38="Yes",C38,""))</f>
        <v/>
      </c>
      <c r="E38" s="16" t="str">
        <f>IF(B38="","",IF('Leave-on - DID'!M38="R",'Leave-on - DID'!G38,""))</f>
        <v/>
      </c>
      <c r="F38" s="6" t="str">
        <f>IF(AND(OR('Leave-on - DID'!K38&gt;10,'Leave-on - DID'!L38&gt;0.1),'Leave-on - DID'!N38="No bioaccumulable"),'Leave-on - DID'!G38,"")</f>
        <v/>
      </c>
      <c r="G38" s="6" t="str">
        <f>IF(AND(OR('Leave-on - DID'!K38&gt;10,'Leave-on - DID'!L38&gt;0.1),'Leave-on - DID'!M38="I"),'Leave-on - DID'!G38,"")</f>
        <v/>
      </c>
      <c r="H38" s="16" t="str">
        <f>IF(AND(OR('Leave-on - DID'!K38&gt;10,'Leave-on - DID'!L38&gt;0.1),'Leave-on - DID'!N38="No bioavailable"),'Leave-on - DID'!G38,"")</f>
        <v/>
      </c>
    </row>
    <row r="39" spans="1:8">
      <c r="A39" s="5">
        <v>30</v>
      </c>
      <c r="B39" s="6" t="str">
        <f>'Rinse-off - DID'!B39</f>
        <v/>
      </c>
      <c r="C39" s="15" t="str">
        <f>IF(B39="","",'Rinse-off - DID'!G39)</f>
        <v/>
      </c>
      <c r="D39" s="6" t="str">
        <f>IF(B39="","",IF('Ingoing substances'!V39="Yes",C39,""))</f>
        <v/>
      </c>
      <c r="E39" s="16" t="str">
        <f>IF(B39="","",IF('Leave-on - DID'!M39="R",'Leave-on - DID'!G39,""))</f>
        <v/>
      </c>
      <c r="F39" s="6" t="str">
        <f>IF(AND(OR('Leave-on - DID'!K39&gt;10,'Leave-on - DID'!L39&gt;0.1),'Leave-on - DID'!N39="No bioaccumulable"),'Leave-on - DID'!G39,"")</f>
        <v/>
      </c>
      <c r="G39" s="6" t="str">
        <f>IF(AND(OR('Leave-on - DID'!K39&gt;10,'Leave-on - DID'!L39&gt;0.1),'Leave-on - DID'!M39="I"),'Leave-on - DID'!G39,"")</f>
        <v/>
      </c>
      <c r="H39" s="16" t="str">
        <f>IF(AND(OR('Leave-on - DID'!K39&gt;10,'Leave-on - DID'!L39&gt;0.1),'Leave-on - DID'!N39="No bioavailable"),'Leave-on - DID'!G39,"")</f>
        <v/>
      </c>
    </row>
    <row r="40" spans="1:8">
      <c r="A40" s="5">
        <v>31</v>
      </c>
      <c r="B40" s="6" t="str">
        <f>'Rinse-off - DID'!B40</f>
        <v/>
      </c>
      <c r="C40" s="15" t="str">
        <f>IF(B40="","",'Rinse-off - DID'!G40)</f>
        <v/>
      </c>
      <c r="D40" s="6" t="str">
        <f>IF(B40="","",IF('Ingoing substances'!V40="Yes",C40,""))</f>
        <v/>
      </c>
      <c r="E40" s="16" t="str">
        <f>IF(B40="","",IF('Leave-on - DID'!M40="R",'Leave-on - DID'!G40,""))</f>
        <v/>
      </c>
      <c r="F40" s="6" t="str">
        <f>IF(AND(OR('Leave-on - DID'!K40&gt;10,'Leave-on - DID'!L40&gt;0.1),'Leave-on - DID'!N40="No bioaccumulable"),'Leave-on - DID'!G40,"")</f>
        <v/>
      </c>
      <c r="G40" s="6" t="str">
        <f>IF(AND(OR('Leave-on - DID'!K40&gt;10,'Leave-on - DID'!L40&gt;0.1),'Leave-on - DID'!M40="I"),'Leave-on - DID'!G40,"")</f>
        <v/>
      </c>
      <c r="H40" s="16" t="str">
        <f>IF(AND(OR('Leave-on - DID'!K40&gt;10,'Leave-on - DID'!L40&gt;0.1),'Leave-on - DID'!N40="No bioavailable"),'Leave-on - DID'!G40,"")</f>
        <v/>
      </c>
    </row>
    <row r="41" spans="1:8">
      <c r="A41" s="5">
        <v>32</v>
      </c>
      <c r="B41" s="6" t="str">
        <f>'Rinse-off - DID'!B41</f>
        <v/>
      </c>
      <c r="C41" s="15" t="str">
        <f>IF(B41="","",'Rinse-off - DID'!G41)</f>
        <v/>
      </c>
      <c r="D41" s="6" t="str">
        <f>IF(B41="","",IF('Ingoing substances'!V41="Yes",C41,""))</f>
        <v/>
      </c>
      <c r="E41" s="16" t="str">
        <f>IF(B41="","",IF('Leave-on - DID'!M41="R",'Leave-on - DID'!G41,""))</f>
        <v/>
      </c>
      <c r="F41" s="6" t="str">
        <f>IF(AND(OR('Leave-on - DID'!K41&gt;10,'Leave-on - DID'!L41&gt;0.1),'Leave-on - DID'!N41="No bioaccumulable"),'Leave-on - DID'!G41,"")</f>
        <v/>
      </c>
      <c r="G41" s="6" t="str">
        <f>IF(AND(OR('Leave-on - DID'!K41&gt;10,'Leave-on - DID'!L41&gt;0.1),'Leave-on - DID'!M41="I"),'Leave-on - DID'!G41,"")</f>
        <v/>
      </c>
      <c r="H41" s="16" t="str">
        <f>IF(AND(OR('Leave-on - DID'!K41&gt;10,'Leave-on - DID'!L41&gt;0.1),'Leave-on - DID'!N41="No bioavailable"),'Leave-on - DID'!G41,"")</f>
        <v/>
      </c>
    </row>
    <row r="42" spans="1:8">
      <c r="A42" s="5">
        <v>33</v>
      </c>
      <c r="B42" s="6" t="str">
        <f>'Rinse-off - DID'!B42</f>
        <v/>
      </c>
      <c r="C42" s="15" t="str">
        <f>IF(B42="","",'Rinse-off - DID'!G42)</f>
        <v/>
      </c>
      <c r="D42" s="6" t="str">
        <f>IF(B42="","",IF('Ingoing substances'!V42="Yes",C42,""))</f>
        <v/>
      </c>
      <c r="E42" s="16" t="str">
        <f>IF(B42="","",IF('Leave-on - DID'!M42="R",'Leave-on - DID'!G42,""))</f>
        <v/>
      </c>
      <c r="F42" s="6" t="str">
        <f>IF(AND(OR('Leave-on - DID'!K42&gt;10,'Leave-on - DID'!L42&gt;0.1),'Leave-on - DID'!N42="No bioaccumulable"),'Leave-on - DID'!G42,"")</f>
        <v/>
      </c>
      <c r="G42" s="6" t="str">
        <f>IF(AND(OR('Leave-on - DID'!K42&gt;10,'Leave-on - DID'!L42&gt;0.1),'Leave-on - DID'!M42="I"),'Leave-on - DID'!G42,"")</f>
        <v/>
      </c>
      <c r="H42" s="16" t="str">
        <f>IF(AND(OR('Leave-on - DID'!K42&gt;10,'Leave-on - DID'!L42&gt;0.1),'Leave-on - DID'!N42="No bioavailable"),'Leave-on - DID'!G42,"")</f>
        <v/>
      </c>
    </row>
    <row r="43" spans="1:8">
      <c r="A43" s="5">
        <v>34</v>
      </c>
      <c r="B43" s="6" t="str">
        <f>'Rinse-off - DID'!B43</f>
        <v/>
      </c>
      <c r="C43" s="15" t="str">
        <f>IF(B43="","",'Rinse-off - DID'!G43)</f>
        <v/>
      </c>
      <c r="D43" s="6" t="str">
        <f>IF(B43="","",IF('Ingoing substances'!V43="Yes",C43,""))</f>
        <v/>
      </c>
      <c r="E43" s="16" t="str">
        <f>IF(B43="","",IF('Leave-on - DID'!M43="R",'Leave-on - DID'!G43,""))</f>
        <v/>
      </c>
      <c r="F43" s="6" t="str">
        <f>IF(AND(OR('Leave-on - DID'!K43&gt;10,'Leave-on - DID'!L43&gt;0.1),'Leave-on - DID'!N43="No bioaccumulable"),'Leave-on - DID'!G43,"")</f>
        <v/>
      </c>
      <c r="G43" s="6" t="str">
        <f>IF(AND(OR('Leave-on - DID'!K43&gt;10,'Leave-on - DID'!L43&gt;0.1),'Leave-on - DID'!M43="I"),'Leave-on - DID'!G43,"")</f>
        <v/>
      </c>
      <c r="H43" s="16" t="str">
        <f>IF(AND(OR('Leave-on - DID'!K43&gt;10,'Leave-on - DID'!L43&gt;0.1),'Leave-on - DID'!N43="No bioavailable"),'Leave-on - DID'!G43,"")</f>
        <v/>
      </c>
    </row>
    <row r="44" spans="1:8">
      <c r="A44" s="5">
        <v>35</v>
      </c>
      <c r="B44" s="6" t="str">
        <f>'Rinse-off - DID'!B44</f>
        <v/>
      </c>
      <c r="C44" s="15" t="str">
        <f>IF(B44="","",'Rinse-off - DID'!G44)</f>
        <v/>
      </c>
      <c r="D44" s="6" t="str">
        <f>IF(B44="","",IF('Ingoing substances'!V44="Yes",C44,""))</f>
        <v/>
      </c>
      <c r="E44" s="16" t="str">
        <f>IF(B44="","",IF('Leave-on - DID'!M44="R",'Leave-on - DID'!G44,""))</f>
        <v/>
      </c>
      <c r="F44" s="6" t="str">
        <f>IF(AND(OR('Leave-on - DID'!K44&gt;10,'Leave-on - DID'!L44&gt;0.1),'Leave-on - DID'!N44="No bioaccumulable"),'Leave-on - DID'!G44,"")</f>
        <v/>
      </c>
      <c r="G44" s="6" t="str">
        <f>IF(AND(OR('Leave-on - DID'!K44&gt;10,'Leave-on - DID'!L44&gt;0.1),'Leave-on - DID'!M44="I"),'Leave-on - DID'!G44,"")</f>
        <v/>
      </c>
      <c r="H44" s="16" t="str">
        <f>IF(AND(OR('Leave-on - DID'!K44&gt;10,'Leave-on - DID'!L44&gt;0.1),'Leave-on - DID'!N44="No bioavailable"),'Leave-on - DID'!G44,"")</f>
        <v/>
      </c>
    </row>
    <row r="45" spans="1:8">
      <c r="A45" s="5">
        <v>36</v>
      </c>
      <c r="B45" s="6" t="str">
        <f>'Rinse-off - DID'!B45</f>
        <v/>
      </c>
      <c r="C45" s="15" t="str">
        <f>IF(B45="","",'Rinse-off - DID'!G45)</f>
        <v/>
      </c>
      <c r="D45" s="6" t="str">
        <f>IF(B45="","",IF('Ingoing substances'!V45="Yes",C45,""))</f>
        <v/>
      </c>
      <c r="E45" s="16" t="str">
        <f>IF(B45="","",IF('Leave-on - DID'!M45="R",'Leave-on - DID'!G45,""))</f>
        <v/>
      </c>
      <c r="F45" s="6" t="str">
        <f>IF(AND(OR('Leave-on - DID'!K45&gt;10,'Leave-on - DID'!L45&gt;0.1),'Leave-on - DID'!N45="No bioaccumulable"),'Leave-on - DID'!G45,"")</f>
        <v/>
      </c>
      <c r="G45" s="6" t="str">
        <f>IF(AND(OR('Leave-on - DID'!K45&gt;10,'Leave-on - DID'!L45&gt;0.1),'Leave-on - DID'!M45="I"),'Leave-on - DID'!G45,"")</f>
        <v/>
      </c>
      <c r="H45" s="16" t="str">
        <f>IF(AND(OR('Leave-on - DID'!K45&gt;10,'Leave-on - DID'!L45&gt;0.1),'Leave-on - DID'!N45="No bioavailable"),'Leave-on - DID'!G45,"")</f>
        <v/>
      </c>
    </row>
    <row r="46" spans="1:8">
      <c r="A46" s="5">
        <v>37</v>
      </c>
      <c r="B46" s="6" t="str">
        <f>'Rinse-off - DID'!B46</f>
        <v/>
      </c>
      <c r="C46" s="15" t="str">
        <f>IF(B46="","",'Rinse-off - DID'!G46)</f>
        <v/>
      </c>
      <c r="D46" s="6" t="str">
        <f>IF(B46="","",IF('Ingoing substances'!V46="Yes",C46,""))</f>
        <v/>
      </c>
      <c r="E46" s="16" t="str">
        <f>IF(B46="","",IF('Leave-on - DID'!M46="R",'Leave-on - DID'!G46,""))</f>
        <v/>
      </c>
      <c r="F46" s="6" t="str">
        <f>IF(AND(OR('Leave-on - DID'!K46&gt;10,'Leave-on - DID'!L46&gt;0.1),'Leave-on - DID'!N46="No bioaccumulable"),'Leave-on - DID'!G46,"")</f>
        <v/>
      </c>
      <c r="G46" s="6" t="str">
        <f>IF(AND(OR('Leave-on - DID'!K46&gt;10,'Leave-on - DID'!L46&gt;0.1),'Leave-on - DID'!M46="I"),'Leave-on - DID'!G46,"")</f>
        <v/>
      </c>
      <c r="H46" s="16" t="str">
        <f>IF(AND(OR('Leave-on - DID'!K46&gt;10,'Leave-on - DID'!L46&gt;0.1),'Leave-on - DID'!N46="No bioavailable"),'Leave-on - DID'!G46,"")</f>
        <v/>
      </c>
    </row>
    <row r="47" spans="1:8">
      <c r="A47" s="5">
        <v>38</v>
      </c>
      <c r="B47" s="6" t="str">
        <f>'Rinse-off - DID'!B47</f>
        <v/>
      </c>
      <c r="C47" s="15" t="str">
        <f>IF(B47="","",'Rinse-off - DID'!G47)</f>
        <v/>
      </c>
      <c r="D47" s="6" t="str">
        <f>IF(B47="","",IF('Ingoing substances'!V47="Yes",C47,""))</f>
        <v/>
      </c>
      <c r="E47" s="16" t="str">
        <f>IF(B47="","",IF('Leave-on - DID'!M47="R",'Leave-on - DID'!G47,""))</f>
        <v/>
      </c>
      <c r="F47" s="6" t="str">
        <f>IF(AND(OR('Leave-on - DID'!K47&gt;10,'Leave-on - DID'!L47&gt;0.1),'Leave-on - DID'!N47="No bioaccumulable"),'Leave-on - DID'!G47,"")</f>
        <v/>
      </c>
      <c r="G47" s="6" t="str">
        <f>IF(AND(OR('Leave-on - DID'!K47&gt;10,'Leave-on - DID'!L47&gt;0.1),'Leave-on - DID'!M47="I"),'Leave-on - DID'!G47,"")</f>
        <v/>
      </c>
      <c r="H47" s="16" t="str">
        <f>IF(AND(OR('Leave-on - DID'!K47&gt;10,'Leave-on - DID'!L47&gt;0.1),'Leave-on - DID'!N47="No bioavailable"),'Leave-on - DID'!G47,"")</f>
        <v/>
      </c>
    </row>
    <row r="48" spans="1:8">
      <c r="A48" s="5">
        <v>39</v>
      </c>
      <c r="B48" s="6" t="str">
        <f>'Rinse-off - DID'!B48</f>
        <v/>
      </c>
      <c r="C48" s="15" t="str">
        <f>IF(B48="","",'Rinse-off - DID'!G48)</f>
        <v/>
      </c>
      <c r="D48" s="6" t="str">
        <f>IF(B48="","",IF('Ingoing substances'!V48="Yes",C48,""))</f>
        <v/>
      </c>
      <c r="E48" s="16" t="str">
        <f>IF(B48="","",IF('Leave-on - DID'!M48="R",'Leave-on - DID'!G48,""))</f>
        <v/>
      </c>
      <c r="F48" s="6" t="str">
        <f>IF(AND(OR('Leave-on - DID'!K48&gt;10,'Leave-on - DID'!L48&gt;0.1),'Leave-on - DID'!N48="No bioaccumulable"),'Leave-on - DID'!G48,"")</f>
        <v/>
      </c>
      <c r="G48" s="6" t="str">
        <f>IF(AND(OR('Leave-on - DID'!K48&gt;10,'Leave-on - DID'!L48&gt;0.1),'Leave-on - DID'!M48="I"),'Leave-on - DID'!G48,"")</f>
        <v/>
      </c>
      <c r="H48" s="16" t="str">
        <f>IF(AND(OR('Leave-on - DID'!K48&gt;10,'Leave-on - DID'!L48&gt;0.1),'Leave-on - DID'!N48="No bioavailable"),'Leave-on - DID'!G48,"")</f>
        <v/>
      </c>
    </row>
    <row r="49" spans="1:9">
      <c r="A49" s="5">
        <v>40</v>
      </c>
      <c r="B49" s="6" t="str">
        <f>'Rinse-off - DID'!B49</f>
        <v/>
      </c>
      <c r="C49" s="15" t="str">
        <f>IF(B49="","",'Rinse-off - DID'!G49)</f>
        <v/>
      </c>
      <c r="D49" s="6" t="str">
        <f>IF(B49="","",IF('Ingoing substances'!V49="Yes",C49,""))</f>
        <v/>
      </c>
      <c r="E49" s="16" t="str">
        <f>IF(B49="","",IF('Leave-on - DID'!M49="R",'Leave-on - DID'!G49,""))</f>
        <v/>
      </c>
      <c r="F49" s="6" t="str">
        <f>IF(AND(OR('Leave-on - DID'!K49&gt;10,'Leave-on - DID'!L49&gt;0.1),'Leave-on - DID'!N49="No bioaccumulable"),'Leave-on - DID'!G49,"")</f>
        <v/>
      </c>
      <c r="G49" s="6" t="str">
        <f>IF(AND(OR('Leave-on - DID'!K49&gt;10,'Leave-on - DID'!L49&gt;0.1),'Leave-on - DID'!M49="I"),'Leave-on - DID'!G49,"")</f>
        <v/>
      </c>
      <c r="H49" s="16" t="str">
        <f>IF(AND(OR('Leave-on - DID'!K49&gt;10,'Leave-on - DID'!L49&gt;0.1),'Leave-on - DID'!N49="No bioavailable"),'Leave-on - DID'!G49,"")</f>
        <v/>
      </c>
    </row>
    <row r="50" spans="1:9">
      <c r="A50" s="5">
        <v>41</v>
      </c>
      <c r="B50" s="6" t="str">
        <f>'Rinse-off - DID'!B50</f>
        <v/>
      </c>
      <c r="C50" s="15" t="str">
        <f>IF(B50="","",'Rinse-off - DID'!G50)</f>
        <v/>
      </c>
      <c r="D50" s="6" t="str">
        <f>IF(B50="","",IF('Ingoing substances'!V50="Yes",C50,""))</f>
        <v/>
      </c>
      <c r="E50" s="16" t="str">
        <f>IF(B50="","",IF('Leave-on - DID'!M50="R",'Leave-on - DID'!G50,""))</f>
        <v/>
      </c>
      <c r="F50" s="6" t="str">
        <f>IF(AND(OR('Leave-on - DID'!K50&gt;10,'Leave-on - DID'!L50&gt;0.1),'Leave-on - DID'!N50="No bioaccumulable"),'Leave-on - DID'!G50,"")</f>
        <v/>
      </c>
      <c r="G50" s="6" t="str">
        <f>IF(AND(OR('Leave-on - DID'!K50&gt;10,'Leave-on - DID'!L50&gt;0.1),'Leave-on - DID'!M50="I"),'Leave-on - DID'!G50,"")</f>
        <v/>
      </c>
      <c r="H50" s="16" t="str">
        <f>IF(AND(OR('Leave-on - DID'!K50&gt;10,'Leave-on - DID'!L50&gt;0.1),'Leave-on - DID'!N50="No bioavailable"),'Leave-on - DID'!G50,"")</f>
        <v/>
      </c>
    </row>
    <row r="51" spans="1:9">
      <c r="A51" s="5">
        <v>42</v>
      </c>
      <c r="B51" s="6" t="str">
        <f>'Rinse-off - DID'!B51</f>
        <v/>
      </c>
      <c r="C51" s="15" t="str">
        <f>IF(B51="","",'Rinse-off - DID'!G51)</f>
        <v/>
      </c>
      <c r="D51" s="6" t="str">
        <f>IF(B51="","",IF('Ingoing substances'!V51="Yes",C51,""))</f>
        <v/>
      </c>
      <c r="E51" s="16" t="str">
        <f>IF(B51="","",IF('Leave-on - DID'!M51="R",'Leave-on - DID'!G51,""))</f>
        <v/>
      </c>
      <c r="F51" s="6" t="str">
        <f>IF(AND(OR('Leave-on - DID'!K51&gt;10,'Leave-on - DID'!L51&gt;0.1),'Leave-on - DID'!N51="No bioaccumulable"),'Leave-on - DID'!G51,"")</f>
        <v/>
      </c>
      <c r="G51" s="6" t="str">
        <f>IF(AND(OR('Leave-on - DID'!K51&gt;10,'Leave-on - DID'!L51&gt;0.1),'Leave-on - DID'!M51="I"),'Leave-on - DID'!G51,"")</f>
        <v/>
      </c>
      <c r="H51" s="16" t="str">
        <f>IF(AND(OR('Leave-on - DID'!K51&gt;10,'Leave-on - DID'!L51&gt;0.1),'Leave-on - DID'!N51="No bioavailable"),'Leave-on - DID'!G51,"")</f>
        <v/>
      </c>
    </row>
    <row r="52" spans="1:9">
      <c r="A52" s="5">
        <v>43</v>
      </c>
      <c r="B52" s="6" t="str">
        <f>'Rinse-off - DID'!B52</f>
        <v/>
      </c>
      <c r="C52" s="15" t="str">
        <f>IF(B52="","",'Rinse-off - DID'!G52)</f>
        <v/>
      </c>
      <c r="D52" s="6" t="str">
        <f>IF(B52="","",IF('Ingoing substances'!V52="Yes",C52,""))</f>
        <v/>
      </c>
      <c r="E52" s="16" t="str">
        <f>IF(B52="","",IF('Leave-on - DID'!M52="R",'Leave-on - DID'!G52,""))</f>
        <v/>
      </c>
      <c r="F52" s="6" t="str">
        <f>IF(AND(OR('Leave-on - DID'!K52&gt;10,'Leave-on - DID'!L52&gt;0.1),'Leave-on - DID'!N52="No bioaccumulable"),'Leave-on - DID'!G52,"")</f>
        <v/>
      </c>
      <c r="G52" s="6" t="str">
        <f>IF(AND(OR('Leave-on - DID'!K52&gt;10,'Leave-on - DID'!L52&gt;0.1),'Leave-on - DID'!M52="I"),'Leave-on - DID'!G52,"")</f>
        <v/>
      </c>
      <c r="H52" s="16" t="str">
        <f>IF(AND(OR('Leave-on - DID'!K52&gt;10,'Leave-on - DID'!L52&gt;0.1),'Leave-on - DID'!N52="No bioavailable"),'Leave-on - DID'!G52,"")</f>
        <v/>
      </c>
    </row>
    <row r="53" spans="1:9">
      <c r="A53" s="5">
        <v>44</v>
      </c>
      <c r="B53" s="6" t="str">
        <f>'Rinse-off - DID'!B53</f>
        <v/>
      </c>
      <c r="C53" s="15" t="str">
        <f>IF(B53="","",'Rinse-off - DID'!G53)</f>
        <v/>
      </c>
      <c r="D53" s="6" t="str">
        <f>IF(B53="","",IF('Ingoing substances'!V53="Yes",C53,""))</f>
        <v/>
      </c>
      <c r="E53" s="16" t="str">
        <f>IF(B53="","",IF('Leave-on - DID'!M53="R",'Leave-on - DID'!G53,""))</f>
        <v/>
      </c>
      <c r="F53" s="6" t="str">
        <f>IF(AND(OR('Leave-on - DID'!K53&gt;10,'Leave-on - DID'!L53&gt;0.1),'Leave-on - DID'!N53="No bioaccumulable"),'Leave-on - DID'!G53,"")</f>
        <v/>
      </c>
      <c r="G53" s="6" t="str">
        <f>IF(AND(OR('Leave-on - DID'!K53&gt;10,'Leave-on - DID'!L53&gt;0.1),'Leave-on - DID'!M53="I"),'Leave-on - DID'!G53,"")</f>
        <v/>
      </c>
      <c r="H53" s="16" t="str">
        <f>IF(AND(OR('Leave-on - DID'!K53&gt;10,'Leave-on - DID'!L53&gt;0.1),'Leave-on - DID'!N53="No bioavailable"),'Leave-on - DID'!G53,"")</f>
        <v/>
      </c>
    </row>
    <row r="54" spans="1:9">
      <c r="A54" s="5">
        <v>45</v>
      </c>
      <c r="B54" s="6" t="str">
        <f>'Rinse-off - DID'!B54</f>
        <v/>
      </c>
      <c r="C54" s="15" t="str">
        <f>IF(B54="","",'Rinse-off - DID'!G54)</f>
        <v/>
      </c>
      <c r="D54" s="6" t="str">
        <f>IF(B54="","",IF('Ingoing substances'!V54="Yes",C54,""))</f>
        <v/>
      </c>
      <c r="E54" s="16" t="str">
        <f>IF(B54="","",IF('Leave-on - DID'!M54="R",'Leave-on - DID'!G54,""))</f>
        <v/>
      </c>
      <c r="F54" s="6" t="str">
        <f>IF(AND(OR('Leave-on - DID'!K54&gt;10,'Leave-on - DID'!L54&gt;0.1),'Leave-on - DID'!N54="No bioaccumulable"),'Leave-on - DID'!G54,"")</f>
        <v/>
      </c>
      <c r="G54" s="6" t="str">
        <f>IF(AND(OR('Leave-on - DID'!K54&gt;10,'Leave-on - DID'!L54&gt;0.1),'Leave-on - DID'!M54="I"),'Leave-on - DID'!G54,"")</f>
        <v/>
      </c>
      <c r="H54" s="16" t="str">
        <f>IF(AND(OR('Leave-on - DID'!K54&gt;10,'Leave-on - DID'!L54&gt;0.1),'Leave-on - DID'!N54="No bioavailable"),'Leave-on - DID'!G54,"")</f>
        <v/>
      </c>
    </row>
    <row r="55" spans="1:9">
      <c r="A55" s="5">
        <v>46</v>
      </c>
      <c r="B55" s="6" t="str">
        <f>'Rinse-off - DID'!B55</f>
        <v/>
      </c>
      <c r="C55" s="15" t="str">
        <f>IF(B55="","",'Rinse-off - DID'!G55)</f>
        <v/>
      </c>
      <c r="D55" s="6" t="str">
        <f>IF(B55="","",IF('Ingoing substances'!V55="Yes",C55,""))</f>
        <v/>
      </c>
      <c r="E55" s="16" t="str">
        <f>IF(B55="","",IF('Leave-on - DID'!M55="R",'Leave-on - DID'!G55,""))</f>
        <v/>
      </c>
      <c r="F55" s="6" t="str">
        <f>IF(AND(OR('Leave-on - DID'!K55&gt;10,'Leave-on - DID'!L55&gt;0.1),'Leave-on - DID'!N55="No bioaccumulable"),'Leave-on - DID'!G55,"")</f>
        <v/>
      </c>
      <c r="G55" s="6" t="str">
        <f>IF(AND(OR('Leave-on - DID'!K55&gt;10,'Leave-on - DID'!L55&gt;0.1),'Leave-on - DID'!M55="I"),'Leave-on - DID'!G55,"")</f>
        <v/>
      </c>
      <c r="H55" s="16" t="str">
        <f>IF(AND(OR('Leave-on - DID'!K55&gt;10,'Leave-on - DID'!L55&gt;0.1),'Leave-on - DID'!N55="No bioavailable"),'Leave-on - DID'!G55,"")</f>
        <v/>
      </c>
    </row>
    <row r="56" spans="1:9">
      <c r="A56" s="5">
        <v>47</v>
      </c>
      <c r="B56" s="6" t="str">
        <f>'Rinse-off - DID'!B56</f>
        <v/>
      </c>
      <c r="C56" s="15" t="str">
        <f>IF(B56="","",'Rinse-off - DID'!G56)</f>
        <v/>
      </c>
      <c r="D56" s="6" t="str">
        <f>IF(B56="","",IF('Ingoing substances'!V56="Yes",C56,""))</f>
        <v/>
      </c>
      <c r="E56" s="16" t="str">
        <f>IF(B56="","",IF('Leave-on - DID'!M56="R",'Leave-on - DID'!G56,""))</f>
        <v/>
      </c>
      <c r="F56" s="6" t="str">
        <f>IF(AND(OR('Leave-on - DID'!K56&gt;10,'Leave-on - DID'!L56&gt;0.1),'Leave-on - DID'!N56="No bioaccumulable"),'Leave-on - DID'!G56,"")</f>
        <v/>
      </c>
      <c r="G56" s="6" t="str">
        <f>IF(AND(OR('Leave-on - DID'!K56&gt;10,'Leave-on - DID'!L56&gt;0.1),'Leave-on - DID'!M56="I"),'Leave-on - DID'!G56,"")</f>
        <v/>
      </c>
      <c r="H56" s="16" t="str">
        <f>IF(AND(OR('Leave-on - DID'!K56&gt;10,'Leave-on - DID'!L56&gt;0.1),'Leave-on - DID'!N56="No bioavailable"),'Leave-on - DID'!G56,"")</f>
        <v/>
      </c>
    </row>
    <row r="57" spans="1:9">
      <c r="A57" s="5">
        <v>48</v>
      </c>
      <c r="B57" s="6" t="str">
        <f>'Rinse-off - DID'!B57</f>
        <v/>
      </c>
      <c r="C57" s="15" t="str">
        <f>IF(B57="","",'Rinse-off - DID'!G57)</f>
        <v/>
      </c>
      <c r="D57" s="6" t="str">
        <f>IF(B57="","",IF('Ingoing substances'!V57="Yes",C57,""))</f>
        <v/>
      </c>
      <c r="E57" s="16" t="str">
        <f>IF(B57="","",IF('Leave-on - DID'!M57="R",'Leave-on - DID'!G57,""))</f>
        <v/>
      </c>
      <c r="F57" s="6" t="str">
        <f>IF(AND(OR('Leave-on - DID'!K57&gt;10,'Leave-on - DID'!L57&gt;0.1),'Leave-on - DID'!N57="No bioaccumulable"),'Leave-on - DID'!G57,"")</f>
        <v/>
      </c>
      <c r="G57" s="6" t="str">
        <f>IF(AND(OR('Leave-on - DID'!K57&gt;10,'Leave-on - DID'!L57&gt;0.1),'Leave-on - DID'!M57="I"),'Leave-on - DID'!G57,"")</f>
        <v/>
      </c>
      <c r="H57" s="16" t="str">
        <f>IF(AND(OR('Leave-on - DID'!K57&gt;10,'Leave-on - DID'!L57&gt;0.1),'Leave-on - DID'!N57="No bioavailable"),'Leave-on - DID'!G57,"")</f>
        <v/>
      </c>
    </row>
    <row r="58" spans="1:9">
      <c r="A58" s="5">
        <v>49</v>
      </c>
      <c r="B58" s="6" t="str">
        <f>'Rinse-off - DID'!B58</f>
        <v/>
      </c>
      <c r="C58" s="15" t="str">
        <f>IF(B58="","",'Rinse-off - DID'!G58)</f>
        <v/>
      </c>
      <c r="D58" s="6" t="str">
        <f>IF(B58="","",IF('Ingoing substances'!V58="Yes",C58,""))</f>
        <v/>
      </c>
      <c r="E58" s="16" t="str">
        <f>IF(B58="","",IF('Leave-on - DID'!M58="R",'Leave-on - DID'!G58,""))</f>
        <v/>
      </c>
      <c r="F58" s="6" t="str">
        <f>IF(AND(OR('Leave-on - DID'!K58&gt;10,'Leave-on - DID'!L58&gt;0.1),'Leave-on - DID'!N58="No bioaccumulable"),'Leave-on - DID'!G58,"")</f>
        <v/>
      </c>
      <c r="G58" s="6" t="str">
        <f>IF(AND(OR('Leave-on - DID'!K58&gt;10,'Leave-on - DID'!L58&gt;0.1),'Leave-on - DID'!M58="I"),'Leave-on - DID'!G58,"")</f>
        <v/>
      </c>
      <c r="H58" s="16" t="str">
        <f>IF(AND(OR('Leave-on - DID'!K58&gt;10,'Leave-on - DID'!L58&gt;0.1),'Leave-on - DID'!N58="No bioavailable"),'Leave-on - DID'!G58,"")</f>
        <v/>
      </c>
    </row>
    <row r="59" spans="1:9">
      <c r="A59" s="5">
        <v>50</v>
      </c>
      <c r="B59" s="162" t="str">
        <f>'Rinse-off - DID'!B59</f>
        <v/>
      </c>
      <c r="C59" s="163" t="str">
        <f>IF(B59="","",'Rinse-off - DID'!G59)</f>
        <v/>
      </c>
      <c r="D59" s="162" t="str">
        <f>IF(B59="","",IF('Ingoing substances'!V59="Yes",C59,""))</f>
        <v/>
      </c>
      <c r="E59" s="164" t="str">
        <f>IF(B59="","",IF('Leave-on - DID'!M59="R",'Leave-on - DID'!G59,""))</f>
        <v/>
      </c>
      <c r="F59" s="6" t="str">
        <f>IF(AND(OR('Leave-on - DID'!K59&gt;10,'Leave-on - DID'!L59&gt;0.1),'Leave-on - DID'!N59="No bioaccumulable"),'Leave-on - DID'!G59,"")</f>
        <v/>
      </c>
      <c r="G59" s="162" t="str">
        <f>IF(AND(OR('Leave-on - DID'!K59&gt;10,'Leave-on - DID'!L59&gt;0.1),'Leave-on - DID'!M59="I"),'Leave-on - DID'!G59,"")</f>
        <v/>
      </c>
      <c r="H59" s="16" t="str">
        <f>IF(AND(OR('Leave-on - DID'!K59&gt;10,'Leave-on - DID'!L59&gt;0.1),'Leave-on - DID'!N59="No bioavailable"),'Leave-on - DID'!G59,"")</f>
        <v/>
      </c>
    </row>
    <row r="60" spans="1:9" s="198" customFormat="1" ht="15.6">
      <c r="B60" s="165" t="s">
        <v>30</v>
      </c>
      <c r="C60" s="172"/>
      <c r="D60" s="173">
        <f>SUM(D11:D59)</f>
        <v>0</v>
      </c>
      <c r="E60" s="173">
        <f>SUM(E11:E59)</f>
        <v>0</v>
      </c>
      <c r="F60" s="173">
        <f t="shared" ref="F60:H60" si="0">SUM(F11:F59)</f>
        <v>0</v>
      </c>
      <c r="G60" s="173">
        <f t="shared" si="0"/>
        <v>0</v>
      </c>
      <c r="H60" s="173">
        <f t="shared" si="0"/>
        <v>0</v>
      </c>
      <c r="I60" s="171" t="str">
        <f>IFERROR((E60+F60+G60+H60)/D60,"0")</f>
        <v>0</v>
      </c>
    </row>
    <row r="61" spans="1:9" ht="15.6">
      <c r="B61" s="241" t="s">
        <v>0</v>
      </c>
      <c r="H61" s="170" t="s">
        <v>76</v>
      </c>
      <c r="I61" s="197">
        <v>0.95</v>
      </c>
    </row>
    <row r="62" spans="1:9" ht="15.6">
      <c r="B62" s="241" t="s">
        <v>0</v>
      </c>
      <c r="H62" s="165" t="s">
        <v>77</v>
      </c>
      <c r="I62" s="197" t="str">
        <f>IF(OR(I61&lt;I60,I61=I60),"Ok","No ok")</f>
        <v>Ok</v>
      </c>
    </row>
    <row r="64" spans="1:9">
      <c r="B64" s="1" t="s">
        <v>31</v>
      </c>
    </row>
    <row r="65" spans="2:8">
      <c r="B65" s="304"/>
      <c r="C65" s="305"/>
      <c r="D65" s="305"/>
      <c r="E65" s="305"/>
      <c r="F65" s="305"/>
      <c r="G65" s="305"/>
      <c r="H65" s="306"/>
    </row>
    <row r="66" spans="2:8">
      <c r="B66" s="307"/>
      <c r="C66" s="308"/>
      <c r="D66" s="308"/>
      <c r="E66" s="308"/>
      <c r="F66" s="308"/>
      <c r="G66" s="308"/>
      <c r="H66" s="309"/>
    </row>
    <row r="67" spans="2:8">
      <c r="B67" s="307"/>
      <c r="C67" s="308"/>
      <c r="D67" s="308"/>
      <c r="E67" s="308"/>
      <c r="F67" s="308"/>
      <c r="G67" s="308"/>
      <c r="H67" s="309"/>
    </row>
    <row r="68" spans="2:8">
      <c r="B68" s="310"/>
      <c r="C68" s="311"/>
      <c r="D68" s="311"/>
      <c r="E68" s="311"/>
      <c r="F68" s="311"/>
      <c r="G68" s="311"/>
      <c r="H68" s="312"/>
    </row>
  </sheetData>
  <sheetProtection algorithmName="SHA-512" hashValue="0PsVsBtkiMFHV48w8FJ0nKVMFkrS8/1xidNOVk7NNw7hklm98nCtIrvPqPU2spBQ47I/m3SSapk7+fENXdarYA==" saltValue="6mBWlAef2bXignyrYMLWkg==" spinCount="100000" sheet="1" selectLockedCells="1"/>
  <autoFilter ref="B8:B62" xr:uid="{00000000-0009-0000-0000-000006000000}"/>
  <mergeCells count="5">
    <mergeCell ref="B65:H68"/>
    <mergeCell ref="B1:D1"/>
    <mergeCell ref="C2:D2"/>
    <mergeCell ref="C3:D3"/>
    <mergeCell ref="C4:D4"/>
  </mergeCells>
  <conditionalFormatting sqref="I62">
    <cfRule type="beginsWith" dxfId="114" priority="1" operator="beginsWith" text="No">
      <formula>LEFT(I62,LEN("No"))="No"</formula>
    </cfRule>
    <cfRule type="beginsWith" dxfId="113" priority="2" operator="beginsWith" text="Ok">
      <formula>LEFT(I62,LEN("Ok"))="Ok"</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41">
    <outlinePr showOutlineSymbols="0"/>
  </sheetPr>
  <dimension ref="A1:R78"/>
  <sheetViews>
    <sheetView showOutlineSymbols="0" zoomScale="96" zoomScaleNormal="96" workbookViewId="0">
      <selection activeCell="H1" sqref="H1:K4"/>
    </sheetView>
  </sheetViews>
  <sheetFormatPr defaultColWidth="11.44140625" defaultRowHeight="13.2"/>
  <cols>
    <col min="1" max="1" width="5.44140625" style="1" customWidth="1"/>
    <col min="2" max="2" width="30.6640625" style="1" customWidth="1"/>
    <col min="3" max="3" width="20.33203125" style="1" bestFit="1" customWidth="1"/>
    <col min="4" max="4" width="20.33203125" style="1" customWidth="1"/>
    <col min="5" max="5" width="20.6640625" style="1" customWidth="1"/>
    <col min="6" max="6" width="4.33203125" style="1" customWidth="1"/>
    <col min="7" max="7" width="30.6640625" style="1" customWidth="1"/>
    <col min="8" max="8" width="20.33203125" style="1" bestFit="1" customWidth="1"/>
    <col min="9" max="9" width="20.33203125" style="1" customWidth="1"/>
    <col min="10" max="10" width="20.6640625" style="1" customWidth="1"/>
    <col min="11" max="11" width="3.88671875" style="1" customWidth="1"/>
    <col min="12" max="12" width="30.6640625" style="1" customWidth="1"/>
    <col min="13" max="13" width="23.6640625" style="1" customWidth="1"/>
    <col min="14" max="14" width="25" style="1" customWidth="1"/>
    <col min="15" max="16384" width="11.44140625" style="1"/>
  </cols>
  <sheetData>
    <row r="1" spans="1:11">
      <c r="B1" s="314" t="s">
        <v>42</v>
      </c>
      <c r="C1" s="315"/>
      <c r="D1" s="315"/>
      <c r="E1" s="315"/>
      <c r="F1" s="104"/>
      <c r="G1" s="345" t="s">
        <v>138</v>
      </c>
      <c r="H1" s="346"/>
      <c r="I1" s="346"/>
      <c r="J1" s="346"/>
      <c r="K1" s="346"/>
    </row>
    <row r="2" spans="1:11">
      <c r="B2" s="102" t="s">
        <v>26</v>
      </c>
      <c r="C2" s="327" t="str">
        <f>'Product formulation'!C2</f>
        <v/>
      </c>
      <c r="D2" s="327"/>
      <c r="E2" s="327"/>
      <c r="F2" s="24"/>
      <c r="G2" s="345"/>
      <c r="H2" s="346"/>
      <c r="I2" s="346"/>
      <c r="J2" s="346"/>
      <c r="K2" s="346"/>
    </row>
    <row r="3" spans="1:11">
      <c r="B3" s="102" t="s">
        <v>4</v>
      </c>
      <c r="C3" s="327" t="str">
        <f>'Product formulation'!C3</f>
        <v/>
      </c>
      <c r="D3" s="327"/>
      <c r="E3" s="327"/>
      <c r="F3" s="24"/>
      <c r="G3" s="345"/>
      <c r="H3" s="346"/>
      <c r="I3" s="346"/>
      <c r="J3" s="346"/>
      <c r="K3" s="346"/>
    </row>
    <row r="4" spans="1:11">
      <c r="B4" s="103" t="s">
        <v>27</v>
      </c>
      <c r="C4" s="328" t="str">
        <f>'Product formulation'!C4</f>
        <v/>
      </c>
      <c r="D4" s="328"/>
      <c r="E4" s="328"/>
      <c r="F4" s="24"/>
      <c r="G4" s="345"/>
      <c r="H4" s="346"/>
      <c r="I4" s="346"/>
      <c r="J4" s="346"/>
      <c r="K4" s="346"/>
    </row>
    <row r="6" spans="1:11" s="193" customFormat="1" ht="15.6">
      <c r="A6" s="193" t="s">
        <v>91</v>
      </c>
    </row>
    <row r="7" spans="1:11">
      <c r="C7" s="56"/>
      <c r="D7" s="56"/>
    </row>
    <row r="8" spans="1:11" ht="12.75" customHeight="1">
      <c r="B8" s="329" t="s">
        <v>94</v>
      </c>
      <c r="C8" s="330"/>
      <c r="D8" s="331"/>
      <c r="E8" s="191" t="s">
        <v>134</v>
      </c>
    </row>
    <row r="9" spans="1:11" ht="48" customHeight="1">
      <c r="B9" s="329" t="s">
        <v>95</v>
      </c>
      <c r="C9" s="330"/>
      <c r="D9" s="331"/>
      <c r="E9" s="97" t="s">
        <v>134</v>
      </c>
      <c r="G9" s="329" t="str">
        <f>IF(E9="Yes","We provide pictures of the products as marketed or relevant evidence","")</f>
        <v/>
      </c>
      <c r="H9" s="330"/>
      <c r="I9" s="331"/>
      <c r="J9" s="267"/>
    </row>
    <row r="10" spans="1:11" ht="25.5" customHeight="1">
      <c r="B10" s="329" t="s">
        <v>96</v>
      </c>
      <c r="C10" s="330"/>
      <c r="D10" s="331"/>
      <c r="E10" s="261"/>
      <c r="G10" s="329" t="str">
        <f>IF(E8="Yes","Provide the number of foreseen refillings, or use the default values of R = 5 for plastics and R = 2 for cardboard","")</f>
        <v/>
      </c>
      <c r="H10" s="330"/>
      <c r="I10" s="331"/>
      <c r="J10" s="267"/>
    </row>
    <row r="11" spans="1:11" ht="27.75" customHeight="1">
      <c r="B11" s="329" t="s">
        <v>97</v>
      </c>
      <c r="C11" s="330"/>
      <c r="D11" s="331"/>
      <c r="E11" s="262" t="e">
        <f>IF(E8="No","",ROUNDUP(E18*E10/J18,0))</f>
        <v>#DIV/0!</v>
      </c>
    </row>
    <row r="12" spans="1:11">
      <c r="B12" s="329" t="s">
        <v>98</v>
      </c>
      <c r="C12" s="330"/>
      <c r="D12" s="331"/>
      <c r="E12" s="97"/>
    </row>
    <row r="13" spans="1:11" ht="37.5" customHeight="1">
      <c r="B13" s="329" t="s">
        <v>99</v>
      </c>
      <c r="C13" s="330"/>
      <c r="D13" s="331"/>
      <c r="E13" s="97" t="s">
        <v>134</v>
      </c>
      <c r="G13" s="329" t="str">
        <f>IF(E13="Yes","For liquid hand the pump or dispenser provides following amount per press:","")</f>
        <v/>
      </c>
      <c r="H13" s="330"/>
      <c r="I13" s="331"/>
      <c r="J13" s="97"/>
    </row>
    <row r="14" spans="1:11" ht="33" customHeight="1">
      <c r="B14" s="329" t="s">
        <v>100</v>
      </c>
      <c r="C14" s="330"/>
      <c r="D14" s="331"/>
      <c r="E14" s="97"/>
    </row>
    <row r="16" spans="1:11" s="11" customFormat="1" ht="15" customHeight="1">
      <c r="B16" s="347" t="s">
        <v>101</v>
      </c>
      <c r="C16" s="347"/>
      <c r="D16" s="347"/>
      <c r="E16" s="347"/>
      <c r="G16" s="347" t="s">
        <v>139</v>
      </c>
      <c r="H16" s="347"/>
      <c r="I16" s="347"/>
      <c r="J16" s="347"/>
    </row>
    <row r="17" spans="2:18" s="199" customFormat="1" ht="27.75" customHeight="1">
      <c r="B17" s="329" t="s">
        <v>102</v>
      </c>
      <c r="C17" s="330"/>
      <c r="D17" s="331"/>
      <c r="E17" s="97"/>
      <c r="G17" s="329" t="s">
        <v>140</v>
      </c>
      <c r="H17" s="330"/>
      <c r="I17" s="331"/>
      <c r="J17" s="97"/>
    </row>
    <row r="18" spans="2:18" s="199" customFormat="1" ht="28.5" customHeight="1">
      <c r="B18" s="329" t="s">
        <v>103</v>
      </c>
      <c r="C18" s="330"/>
      <c r="D18" s="331"/>
      <c r="E18" s="97"/>
      <c r="G18" s="329" t="s">
        <v>141</v>
      </c>
      <c r="H18" s="330"/>
      <c r="I18" s="331"/>
      <c r="J18" s="97"/>
    </row>
    <row r="19" spans="2:18" s="199" customFormat="1" ht="24" customHeight="1">
      <c r="B19" s="329" t="s">
        <v>104</v>
      </c>
      <c r="C19" s="330"/>
      <c r="D19" s="331"/>
      <c r="E19" s="97"/>
      <c r="G19" s="329" t="s">
        <v>104</v>
      </c>
      <c r="H19" s="330"/>
      <c r="I19" s="331"/>
      <c r="J19" s="97"/>
      <c r="L19" s="332" t="str">
        <f>IF(OR(E19="Yes",J19="Yes"),"Only allowed to group the product and its refill or for products that include several elements for their use. We provide pictures of the products as marketed or relevant evidence.","")</f>
        <v/>
      </c>
      <c r="M19" s="332"/>
      <c r="N19" s="332"/>
      <c r="O19" s="264"/>
      <c r="P19" s="264"/>
      <c r="Q19" s="264"/>
      <c r="R19" s="264"/>
    </row>
    <row r="20" spans="2:18" s="199" customFormat="1" ht="18.75" customHeight="1">
      <c r="B20" s="329" t="s">
        <v>105</v>
      </c>
      <c r="C20" s="330"/>
      <c r="D20" s="331"/>
      <c r="E20" s="97"/>
      <c r="G20" s="329" t="s">
        <v>105</v>
      </c>
      <c r="H20" s="330"/>
      <c r="I20" s="331"/>
      <c r="J20" s="97"/>
    </row>
    <row r="21" spans="2:18" ht="39.6">
      <c r="B21" s="194" t="s">
        <v>106</v>
      </c>
      <c r="C21" s="194" t="s">
        <v>127</v>
      </c>
      <c r="D21" s="194" t="s">
        <v>133</v>
      </c>
      <c r="E21" s="194" t="s">
        <v>135</v>
      </c>
      <c r="G21" s="194" t="s">
        <v>106</v>
      </c>
      <c r="H21" s="194" t="s">
        <v>127</v>
      </c>
      <c r="I21" s="194" t="s">
        <v>133</v>
      </c>
      <c r="J21" s="194" t="s">
        <v>136</v>
      </c>
    </row>
    <row r="22" spans="2:18">
      <c r="B22" s="9"/>
      <c r="C22" s="211"/>
      <c r="D22" s="211"/>
      <c r="E22" s="211"/>
      <c r="G22" s="9"/>
      <c r="H22" s="211"/>
      <c r="I22" s="211"/>
      <c r="J22" s="211"/>
    </row>
    <row r="23" spans="2:18">
      <c r="B23" s="9"/>
      <c r="C23" s="211"/>
      <c r="D23" s="211"/>
      <c r="E23" s="211"/>
      <c r="G23" s="9"/>
      <c r="H23" s="211"/>
      <c r="I23" s="211"/>
      <c r="J23" s="211"/>
    </row>
    <row r="24" spans="2:18">
      <c r="B24" s="9"/>
      <c r="C24" s="211"/>
      <c r="D24" s="211"/>
      <c r="E24" s="211"/>
      <c r="G24" s="9"/>
      <c r="H24" s="211"/>
      <c r="I24" s="211"/>
      <c r="J24" s="211"/>
    </row>
    <row r="25" spans="2:18">
      <c r="B25" s="9"/>
      <c r="C25" s="211"/>
      <c r="D25" s="211"/>
      <c r="E25" s="211"/>
      <c r="G25" s="9"/>
      <c r="H25" s="211"/>
      <c r="I25" s="211"/>
      <c r="J25" s="211"/>
    </row>
    <row r="26" spans="2:18">
      <c r="B26" s="9"/>
      <c r="C26" s="211"/>
      <c r="D26" s="211"/>
      <c r="E26" s="211"/>
      <c r="G26" s="9"/>
      <c r="H26" s="211"/>
      <c r="I26" s="211"/>
      <c r="J26" s="211"/>
    </row>
    <row r="27" spans="2:18" ht="18.75" customHeight="1">
      <c r="B27" s="200" t="s">
        <v>30</v>
      </c>
      <c r="C27" s="212">
        <f>SUM(C22:C26)</f>
        <v>0</v>
      </c>
      <c r="D27" s="212">
        <f>SUM(D22:D26)</f>
        <v>0</v>
      </c>
      <c r="E27" s="212">
        <f>SUM(E22:E26)</f>
        <v>0</v>
      </c>
      <c r="G27" s="200" t="s">
        <v>30</v>
      </c>
      <c r="H27" s="212">
        <f>SUM(H22:H26)</f>
        <v>0</v>
      </c>
      <c r="I27" s="212">
        <f>SUM(I22:I26)</f>
        <v>0</v>
      </c>
      <c r="J27" s="212">
        <f>SUM(J22:J26)</f>
        <v>0</v>
      </c>
    </row>
    <row r="28" spans="2:18" ht="26.4">
      <c r="B28" s="194" t="s">
        <v>107</v>
      </c>
      <c r="C28" s="342" t="s">
        <v>128</v>
      </c>
      <c r="D28" s="343"/>
      <c r="E28" s="194" t="s">
        <v>136</v>
      </c>
      <c r="G28" s="194" t="s">
        <v>107</v>
      </c>
      <c r="H28" s="342" t="s">
        <v>128</v>
      </c>
      <c r="I28" s="343"/>
      <c r="J28" s="194" t="s">
        <v>136</v>
      </c>
    </row>
    <row r="29" spans="2:18">
      <c r="B29" s="9"/>
      <c r="C29" s="339"/>
      <c r="D29" s="340"/>
      <c r="E29" s="211"/>
      <c r="G29" s="9"/>
      <c r="H29" s="339"/>
      <c r="I29" s="340"/>
      <c r="J29" s="211"/>
    </row>
    <row r="30" spans="2:18">
      <c r="B30" s="9"/>
      <c r="C30" s="339"/>
      <c r="D30" s="340"/>
      <c r="E30" s="211"/>
      <c r="G30" s="9"/>
      <c r="H30" s="339"/>
      <c r="I30" s="340"/>
      <c r="J30" s="211"/>
    </row>
    <row r="31" spans="2:18">
      <c r="B31" s="9"/>
      <c r="C31" s="339"/>
      <c r="D31" s="340"/>
      <c r="E31" s="211"/>
      <c r="G31" s="9"/>
      <c r="H31" s="339"/>
      <c r="I31" s="340"/>
      <c r="J31" s="211"/>
    </row>
    <row r="32" spans="2:18">
      <c r="B32" s="9"/>
      <c r="C32" s="339"/>
      <c r="D32" s="340"/>
      <c r="E32" s="211"/>
      <c r="G32" s="9"/>
      <c r="H32" s="339"/>
      <c r="I32" s="340"/>
      <c r="J32" s="211"/>
    </row>
    <row r="33" spans="1:10">
      <c r="B33" s="9"/>
      <c r="C33" s="339"/>
      <c r="D33" s="340"/>
      <c r="E33" s="211"/>
      <c r="G33" s="9"/>
      <c r="H33" s="339"/>
      <c r="I33" s="340"/>
      <c r="J33" s="211"/>
    </row>
    <row r="34" spans="1:10" ht="18.75" customHeight="1">
      <c r="B34" s="200" t="s">
        <v>30</v>
      </c>
      <c r="C34" s="335">
        <f>SUM(C29:C33)</f>
        <v>0</v>
      </c>
      <c r="D34" s="336"/>
      <c r="E34" s="258">
        <f>SUM(E29:E33)</f>
        <v>0</v>
      </c>
      <c r="G34" s="200" t="s">
        <v>30</v>
      </c>
      <c r="H34" s="335">
        <f>SUM(H29:H33)</f>
        <v>0</v>
      </c>
      <c r="I34" s="336"/>
      <c r="J34" s="258">
        <f>SUM(J29:J33)</f>
        <v>0</v>
      </c>
    </row>
    <row r="35" spans="1:10" ht="26.4">
      <c r="B35" s="201" t="s">
        <v>108</v>
      </c>
      <c r="C35" s="335">
        <f>IF($E$20="",0,C34/$E$20)</f>
        <v>0</v>
      </c>
      <c r="D35" s="336"/>
      <c r="E35" s="258">
        <f>IF($E$20="",0,E34/$E$20)</f>
        <v>0</v>
      </c>
      <c r="G35" s="201" t="s">
        <v>108</v>
      </c>
      <c r="H35" s="335">
        <f>IF($E$20="",0,H34/$E$20)</f>
        <v>0</v>
      </c>
      <c r="I35" s="336"/>
      <c r="J35" s="258">
        <f>IF($E$20="",0,J34/$E$20)</f>
        <v>0</v>
      </c>
    </row>
    <row r="36" spans="1:10" s="199" customFormat="1" ht="18.75" customHeight="1">
      <c r="B36" s="341" t="s">
        <v>109</v>
      </c>
      <c r="C36" s="341"/>
      <c r="D36" s="254"/>
      <c r="E36" s="259">
        <f>C27+C35</f>
        <v>0</v>
      </c>
      <c r="G36" s="341" t="s">
        <v>142</v>
      </c>
      <c r="H36" s="341"/>
      <c r="I36" s="254"/>
      <c r="J36" s="259">
        <f>H27+H35</f>
        <v>0</v>
      </c>
    </row>
    <row r="37" spans="1:10" s="199" customFormat="1" ht="18.75" customHeight="1">
      <c r="B37" s="341" t="s">
        <v>110</v>
      </c>
      <c r="C37" s="341"/>
      <c r="D37" s="254"/>
      <c r="E37" s="259">
        <f>E27+E35</f>
        <v>0</v>
      </c>
      <c r="G37" s="341" t="s">
        <v>143</v>
      </c>
      <c r="H37" s="341"/>
      <c r="I37" s="254"/>
      <c r="J37" s="259">
        <f>J27+J35</f>
        <v>0</v>
      </c>
    </row>
    <row r="39" spans="1:10" ht="25.5" customHeight="1">
      <c r="C39" s="337" t="s">
        <v>129</v>
      </c>
      <c r="D39" s="338"/>
      <c r="E39" s="263" t="str">
        <f>IF(E17="","",(D27/C27))</f>
        <v/>
      </c>
      <c r="H39" s="337" t="s">
        <v>129</v>
      </c>
      <c r="I39" s="338"/>
      <c r="J39" s="263" t="str">
        <f>IF(J17="","",(I27/H27))</f>
        <v/>
      </c>
    </row>
    <row r="40" spans="1:10">
      <c r="C40" s="333" t="s">
        <v>130</v>
      </c>
      <c r="D40" s="334"/>
      <c r="E40" s="256" t="str">
        <f>IF(E17="","",(IF(E8="Yes",((E36+(J36*E11)+E37+(J37*E11))/(E17+(J17*E11))),((E36+E37)/E17))))</f>
        <v/>
      </c>
      <c r="H40" s="202" t="s">
        <v>130</v>
      </c>
      <c r="I40" s="202"/>
      <c r="J40" s="256" t="str">
        <f>IF(J17="","",(J36+J37)/J17)</f>
        <v/>
      </c>
    </row>
    <row r="41" spans="1:10">
      <c r="C41" s="333" t="s">
        <v>76</v>
      </c>
      <c r="D41" s="334"/>
      <c r="E41" s="203">
        <v>0.2</v>
      </c>
      <c r="H41" s="168" t="s">
        <v>76</v>
      </c>
      <c r="I41" s="168"/>
      <c r="J41" s="203">
        <v>0.2</v>
      </c>
    </row>
    <row r="42" spans="1:10">
      <c r="C42" s="333" t="s">
        <v>77</v>
      </c>
      <c r="D42" s="334"/>
      <c r="E42" s="203" t="str">
        <f>IF(OR(E40&lt;E41,E41=E40,E12="Yes",E39&gt;0.8),"Ok","No ok")</f>
        <v>Ok</v>
      </c>
      <c r="H42" s="169" t="s">
        <v>77</v>
      </c>
      <c r="I42" s="168"/>
      <c r="J42" s="203" t="str">
        <f>IF(OR(J40&lt;=J39&gt;0.8),"Ok","No ok")</f>
        <v>Ok</v>
      </c>
    </row>
    <row r="45" spans="1:10" s="193" customFormat="1" ht="15.6">
      <c r="A45" s="193" t="s">
        <v>92</v>
      </c>
    </row>
    <row r="46" spans="1:10" s="255" customFormat="1" ht="15.6"/>
    <row r="47" spans="1:10" s="255" customFormat="1" ht="51.75" customHeight="1">
      <c r="B47" s="329" t="s">
        <v>111</v>
      </c>
      <c r="C47" s="330"/>
      <c r="D47" s="331"/>
      <c r="E47" s="97" t="s">
        <v>134</v>
      </c>
    </row>
    <row r="48" spans="1:10" s="255" customFormat="1" ht="51.75" customHeight="1">
      <c r="B48" s="329" t="s">
        <v>112</v>
      </c>
      <c r="C48" s="330"/>
      <c r="D48" s="331"/>
      <c r="E48" s="97" t="s">
        <v>137</v>
      </c>
    </row>
    <row r="49" spans="1:10" s="255" customFormat="1" ht="39" customHeight="1">
      <c r="B49" s="329" t="str">
        <f>IF(E8="YES","(3) On the label is a reference to use refills in order to minimise impacts on the environment and save money.","")</f>
        <v/>
      </c>
      <c r="C49" s="330"/>
      <c r="D49" s="331"/>
      <c r="E49" s="97"/>
    </row>
    <row r="50" spans="1:10" ht="43.5" customHeight="1">
      <c r="B50" s="329" t="s">
        <v>113</v>
      </c>
      <c r="C50" s="330"/>
      <c r="D50" s="331"/>
      <c r="E50" s="97" t="s">
        <v>134</v>
      </c>
      <c r="G50" s="329" t="s">
        <v>144</v>
      </c>
      <c r="H50" s="330"/>
      <c r="I50" s="331"/>
      <c r="J50" s="97"/>
    </row>
    <row r="51" spans="1:10" ht="43.5" customHeight="1">
      <c r="B51" s="329" t="s">
        <v>114</v>
      </c>
      <c r="C51" s="330"/>
      <c r="D51" s="331"/>
      <c r="E51" s="97"/>
    </row>
    <row r="52" spans="1:10" ht="43.5" customHeight="1">
      <c r="B52" s="329" t="s">
        <v>115</v>
      </c>
      <c r="C52" s="330"/>
      <c r="D52" s="331"/>
      <c r="E52" s="97" t="s">
        <v>134</v>
      </c>
    </row>
    <row r="53" spans="1:10" ht="18.75" customHeight="1">
      <c r="B53" s="329" t="s">
        <v>116</v>
      </c>
      <c r="C53" s="330"/>
      <c r="D53" s="331"/>
      <c r="E53" s="260">
        <f>C27+E17</f>
        <v>0</v>
      </c>
      <c r="G53" s="329" t="s">
        <v>116</v>
      </c>
      <c r="H53" s="330"/>
      <c r="I53" s="331"/>
      <c r="J53" s="260">
        <f>H27+J17</f>
        <v>0</v>
      </c>
    </row>
    <row r="54" spans="1:10" ht="28.5" customHeight="1">
      <c r="B54" s="329" t="s">
        <v>117</v>
      </c>
      <c r="C54" s="330"/>
      <c r="D54" s="331"/>
      <c r="E54" s="97"/>
      <c r="G54" s="329" t="s">
        <v>117</v>
      </c>
      <c r="H54" s="330"/>
      <c r="I54" s="331"/>
      <c r="J54" s="97"/>
    </row>
    <row r="55" spans="1:10" ht="18.75" customHeight="1">
      <c r="B55" s="329" t="s">
        <v>118</v>
      </c>
      <c r="C55" s="330"/>
      <c r="D55" s="331"/>
      <c r="E55" s="260">
        <f>C27</f>
        <v>0</v>
      </c>
      <c r="G55" s="329" t="s">
        <v>118</v>
      </c>
      <c r="H55" s="330"/>
      <c r="I55" s="331"/>
      <c r="J55" s="260">
        <f>H27</f>
        <v>0</v>
      </c>
    </row>
    <row r="57" spans="1:10">
      <c r="C57" s="333" t="s">
        <v>131</v>
      </c>
      <c r="D57" s="334"/>
      <c r="E57" s="256" t="str">
        <f>IF(E54="","",(((E54-E55)/(E53-E55))*100))</f>
        <v/>
      </c>
      <c r="H57" s="333" t="s">
        <v>131</v>
      </c>
      <c r="I57" s="334"/>
      <c r="J57" s="256" t="str">
        <f>IF(J54="","",(((J54-J55)/(J53-J55))*100))</f>
        <v/>
      </c>
    </row>
    <row r="58" spans="1:10">
      <c r="C58" s="333" t="s">
        <v>76</v>
      </c>
      <c r="D58" s="334"/>
      <c r="E58" s="203" t="str">
        <f>IF(C3="Rinse-off product",5,IF(C3="Leave-on product",10,"-"))</f>
        <v>-</v>
      </c>
      <c r="H58" s="333" t="s">
        <v>76</v>
      </c>
      <c r="I58" s="334"/>
      <c r="J58" s="203" t="str">
        <f>IF(C3="Rinse-off product",5,IF(C4="Leave-on product",10,"-"))</f>
        <v>-</v>
      </c>
    </row>
    <row r="59" spans="1:10">
      <c r="C59" s="333" t="s">
        <v>77</v>
      </c>
      <c r="D59" s="334"/>
      <c r="E59" s="203" t="str">
        <f>IF(OR(E57&lt;=E58,E52="Yes"),"Ok","No ok")</f>
        <v>Ok</v>
      </c>
      <c r="H59" s="333" t="s">
        <v>77</v>
      </c>
      <c r="I59" s="334"/>
      <c r="J59" s="203" t="str">
        <f>IF(OR(J57&lt;J58,J58=J57),"Ok","No ok")</f>
        <v>Ok</v>
      </c>
    </row>
    <row r="61" spans="1:10" s="193" customFormat="1" ht="15.6">
      <c r="A61" s="193" t="s">
        <v>93</v>
      </c>
    </row>
    <row r="63" spans="1:10">
      <c r="B63" s="344" t="s">
        <v>101</v>
      </c>
      <c r="C63" s="344"/>
      <c r="D63" s="344"/>
      <c r="E63" s="344"/>
      <c r="G63" s="344" t="s">
        <v>139</v>
      </c>
      <c r="H63" s="344"/>
      <c r="I63" s="344"/>
      <c r="J63" s="344"/>
    </row>
    <row r="64" spans="1:10">
      <c r="B64" s="194" t="s">
        <v>119</v>
      </c>
      <c r="C64" s="348" t="s">
        <v>132</v>
      </c>
      <c r="D64" s="348"/>
      <c r="E64" s="348"/>
      <c r="G64" s="194" t="s">
        <v>119</v>
      </c>
      <c r="H64" s="348" t="s">
        <v>132</v>
      </c>
      <c r="I64" s="348"/>
      <c r="J64" s="348"/>
    </row>
    <row r="65" spans="2:10">
      <c r="B65" s="213" t="s">
        <v>120</v>
      </c>
      <c r="C65" s="349"/>
      <c r="D65" s="349"/>
      <c r="E65" s="349"/>
      <c r="G65" s="213" t="s">
        <v>120</v>
      </c>
      <c r="H65" s="349"/>
      <c r="I65" s="349"/>
      <c r="J65" s="349"/>
    </row>
    <row r="66" spans="2:10" ht="12.9" customHeight="1">
      <c r="B66" s="213" t="s">
        <v>121</v>
      </c>
      <c r="C66" s="349"/>
      <c r="D66" s="349"/>
      <c r="E66" s="349"/>
      <c r="G66" s="213" t="s">
        <v>121</v>
      </c>
      <c r="H66" s="349"/>
      <c r="I66" s="349"/>
      <c r="J66" s="349"/>
    </row>
    <row r="67" spans="2:10">
      <c r="B67" s="213" t="s">
        <v>122</v>
      </c>
      <c r="C67" s="349"/>
      <c r="D67" s="349"/>
      <c r="E67" s="349"/>
      <c r="G67" s="213" t="s">
        <v>122</v>
      </c>
      <c r="H67" s="349"/>
      <c r="I67" s="349"/>
      <c r="J67" s="349"/>
    </row>
    <row r="68" spans="2:10">
      <c r="B68" s="213" t="s">
        <v>123</v>
      </c>
      <c r="C68" s="349"/>
      <c r="D68" s="349"/>
      <c r="E68" s="349"/>
      <c r="G68" s="213" t="s">
        <v>123</v>
      </c>
      <c r="H68" s="349"/>
      <c r="I68" s="349"/>
      <c r="J68" s="349"/>
    </row>
    <row r="69" spans="2:10">
      <c r="B69" s="265" t="s">
        <v>124</v>
      </c>
      <c r="C69" s="350"/>
      <c r="D69" s="350"/>
      <c r="E69" s="350"/>
      <c r="G69" s="213" t="s">
        <v>124</v>
      </c>
      <c r="H69" s="349"/>
      <c r="I69" s="349"/>
      <c r="J69" s="349"/>
    </row>
    <row r="70" spans="2:10" ht="12.75" customHeight="1">
      <c r="B70" s="351" t="s">
        <v>125</v>
      </c>
      <c r="C70" s="352"/>
      <c r="D70" s="352"/>
      <c r="E70" s="353"/>
      <c r="G70" s="351" t="s">
        <v>125</v>
      </c>
      <c r="H70" s="352"/>
      <c r="I70" s="352"/>
      <c r="J70" s="353"/>
    </row>
    <row r="72" spans="2:10" ht="83.25" customHeight="1">
      <c r="B72" s="329" t="s">
        <v>126</v>
      </c>
      <c r="C72" s="330"/>
      <c r="D72" s="331"/>
      <c r="E72" s="97"/>
      <c r="G72" s="329" t="s">
        <v>126</v>
      </c>
      <c r="H72" s="330"/>
      <c r="I72" s="331"/>
      <c r="J72" s="97"/>
    </row>
    <row r="74" spans="2:10">
      <c r="B74" s="1" t="s">
        <v>31</v>
      </c>
    </row>
    <row r="75" spans="2:10">
      <c r="B75" s="304"/>
      <c r="C75" s="305"/>
      <c r="D75" s="305"/>
      <c r="E75" s="305"/>
      <c r="F75" s="305"/>
      <c r="G75" s="305"/>
      <c r="H75" s="305"/>
      <c r="I75" s="305"/>
      <c r="J75" s="306"/>
    </row>
    <row r="76" spans="2:10">
      <c r="B76" s="307"/>
      <c r="C76" s="308"/>
      <c r="D76" s="308"/>
      <c r="E76" s="308"/>
      <c r="F76" s="308"/>
      <c r="G76" s="308"/>
      <c r="H76" s="308"/>
      <c r="I76" s="308"/>
      <c r="J76" s="309"/>
    </row>
    <row r="77" spans="2:10">
      <c r="B77" s="307"/>
      <c r="C77" s="308"/>
      <c r="D77" s="308"/>
      <c r="E77" s="308"/>
      <c r="F77" s="308"/>
      <c r="G77" s="308"/>
      <c r="H77" s="308"/>
      <c r="I77" s="308"/>
      <c r="J77" s="309"/>
    </row>
    <row r="78" spans="2:10">
      <c r="B78" s="310"/>
      <c r="C78" s="311"/>
      <c r="D78" s="311"/>
      <c r="E78" s="311"/>
      <c r="F78" s="311"/>
      <c r="G78" s="311"/>
      <c r="H78" s="311"/>
      <c r="I78" s="311"/>
      <c r="J78" s="312"/>
    </row>
  </sheetData>
  <sheetProtection algorithmName="SHA-512" hashValue="0BPJ1mllSF6LliJYQidam0cgXPVNS3mSBGq+GXO/0yruvD/F+CZBEE8KvunnclZmzEV37l+cHfzHCkBYuWQYcg==" saltValue="lcifBd/5a39JZf2KbyoiCw==" spinCount="100000" sheet="1" selectLockedCells="1"/>
  <mergeCells count="90">
    <mergeCell ref="B20:D20"/>
    <mergeCell ref="C28:D28"/>
    <mergeCell ref="C29:D29"/>
    <mergeCell ref="C30:D30"/>
    <mergeCell ref="C31:D31"/>
    <mergeCell ref="B75:J78"/>
    <mergeCell ref="C64:E64"/>
    <mergeCell ref="C65:E65"/>
    <mergeCell ref="C66:E66"/>
    <mergeCell ref="C67:E67"/>
    <mergeCell ref="C68:E68"/>
    <mergeCell ref="C69:E69"/>
    <mergeCell ref="H64:J64"/>
    <mergeCell ref="H65:J65"/>
    <mergeCell ref="H66:J66"/>
    <mergeCell ref="H67:J67"/>
    <mergeCell ref="H68:J68"/>
    <mergeCell ref="H69:J69"/>
    <mergeCell ref="B70:E70"/>
    <mergeCell ref="G70:J70"/>
    <mergeCell ref="B72:D72"/>
    <mergeCell ref="B63:E63"/>
    <mergeCell ref="G63:J63"/>
    <mergeCell ref="G1:G4"/>
    <mergeCell ref="H1:K4"/>
    <mergeCell ref="G36:H36"/>
    <mergeCell ref="G37:H37"/>
    <mergeCell ref="G16:J16"/>
    <mergeCell ref="B1:E1"/>
    <mergeCell ref="C2:E2"/>
    <mergeCell ref="C3:E3"/>
    <mergeCell ref="C4:E4"/>
    <mergeCell ref="B8:D8"/>
    <mergeCell ref="B16:E16"/>
    <mergeCell ref="B18:D18"/>
    <mergeCell ref="B19:D19"/>
    <mergeCell ref="B36:C36"/>
    <mergeCell ref="B17:D17"/>
    <mergeCell ref="G17:I17"/>
    <mergeCell ref="B9:D9"/>
    <mergeCell ref="B10:D10"/>
    <mergeCell ref="B11:D11"/>
    <mergeCell ref="B12:D12"/>
    <mergeCell ref="B13:D13"/>
    <mergeCell ref="B14:D14"/>
    <mergeCell ref="G13:I13"/>
    <mergeCell ref="G10:I10"/>
    <mergeCell ref="G9:I9"/>
    <mergeCell ref="G18:I18"/>
    <mergeCell ref="G19:I19"/>
    <mergeCell ref="G20:I20"/>
    <mergeCell ref="H28:I28"/>
    <mergeCell ref="H29:I29"/>
    <mergeCell ref="G50:I50"/>
    <mergeCell ref="B51:D51"/>
    <mergeCell ref="H30:I30"/>
    <mergeCell ref="H31:I31"/>
    <mergeCell ref="H32:I32"/>
    <mergeCell ref="H33:I33"/>
    <mergeCell ref="H34:I34"/>
    <mergeCell ref="C35:D35"/>
    <mergeCell ref="C40:D40"/>
    <mergeCell ref="C41:D41"/>
    <mergeCell ref="C42:D42"/>
    <mergeCell ref="C39:D39"/>
    <mergeCell ref="B37:C37"/>
    <mergeCell ref="C32:D32"/>
    <mergeCell ref="C33:D33"/>
    <mergeCell ref="C34:D34"/>
    <mergeCell ref="B53:D53"/>
    <mergeCell ref="B54:D54"/>
    <mergeCell ref="B48:D48"/>
    <mergeCell ref="B49:D49"/>
    <mergeCell ref="B50:D50"/>
    <mergeCell ref="G72:I72"/>
    <mergeCell ref="L19:N19"/>
    <mergeCell ref="B47:D47"/>
    <mergeCell ref="C58:D58"/>
    <mergeCell ref="C59:D59"/>
    <mergeCell ref="H57:I57"/>
    <mergeCell ref="H58:I58"/>
    <mergeCell ref="H59:I59"/>
    <mergeCell ref="B55:D55"/>
    <mergeCell ref="G53:I53"/>
    <mergeCell ref="G54:I54"/>
    <mergeCell ref="G55:I55"/>
    <mergeCell ref="C57:D57"/>
    <mergeCell ref="H35:I35"/>
    <mergeCell ref="H39:I39"/>
    <mergeCell ref="B52:D52"/>
  </mergeCells>
  <conditionalFormatting sqref="C22:E26">
    <cfRule type="expression" dxfId="112" priority="35">
      <formula>ISBLANK($B22)</formula>
    </cfRule>
  </conditionalFormatting>
  <conditionalFormatting sqref="C29:C30 E29:E33">
    <cfRule type="expression" dxfId="111" priority="34">
      <formula>ISBLANK($B29)</formula>
    </cfRule>
  </conditionalFormatting>
  <conditionalFormatting sqref="H23:J26">
    <cfRule type="expression" dxfId="110" priority="33">
      <formula>ISBLANK($G23)</formula>
    </cfRule>
  </conditionalFormatting>
  <conditionalFormatting sqref="J29:J33">
    <cfRule type="expression" dxfId="109" priority="32">
      <formula>ISBLANK($G29)</formula>
    </cfRule>
  </conditionalFormatting>
  <conditionalFormatting sqref="E10">
    <cfRule type="expression" dxfId="108" priority="29">
      <formula>$E$8="Yes"</formula>
    </cfRule>
  </conditionalFormatting>
  <conditionalFormatting sqref="E42">
    <cfRule type="beginsWith" dxfId="107" priority="27" operator="beginsWith" text="No">
      <formula>LEFT(E42,LEN("No"))="No"</formula>
    </cfRule>
    <cfRule type="beginsWith" dxfId="106" priority="28" operator="beginsWith" text="Ok">
      <formula>LEFT(E42,LEN("Ok"))="Ok"</formula>
    </cfRule>
  </conditionalFormatting>
  <conditionalFormatting sqref="J42">
    <cfRule type="beginsWith" dxfId="105" priority="25" operator="beginsWith" text="No">
      <formula>LEFT(J42,LEN("No"))="No"</formula>
    </cfRule>
    <cfRule type="beginsWith" dxfId="104" priority="26" operator="beginsWith" text="Ok">
      <formula>LEFT(J42,LEN("Ok"))="Ok"</formula>
    </cfRule>
  </conditionalFormatting>
  <conditionalFormatting sqref="E18">
    <cfRule type="cellIs" dxfId="103" priority="15" operator="lessThan">
      <formula>150</formula>
    </cfRule>
  </conditionalFormatting>
  <conditionalFormatting sqref="E59">
    <cfRule type="beginsWith" dxfId="102" priority="12" operator="beginsWith" text="No">
      <formula>LEFT(E59,LEN("No"))="No"</formula>
    </cfRule>
    <cfRule type="beginsWith" dxfId="101" priority="13" operator="beginsWith" text="Ok">
      <formula>LEFT(E59,LEN("Ok"))="Ok"</formula>
    </cfRule>
  </conditionalFormatting>
  <conditionalFormatting sqref="J59">
    <cfRule type="beginsWith" dxfId="100" priority="10" operator="beginsWith" text="No">
      <formula>LEFT(J59,LEN("No"))="No"</formula>
    </cfRule>
    <cfRule type="beginsWith" dxfId="99" priority="11" operator="beginsWith" text="Ok">
      <formula>LEFT(J59,LEN("Ok"))="Ok"</formula>
    </cfRule>
  </conditionalFormatting>
  <conditionalFormatting sqref="C31">
    <cfRule type="expression" dxfId="98" priority="8">
      <formula>ISBLANK($B31)</formula>
    </cfRule>
  </conditionalFormatting>
  <conditionalFormatting sqref="C32">
    <cfRule type="expression" dxfId="97" priority="7">
      <formula>ISBLANK($B32)</formula>
    </cfRule>
  </conditionalFormatting>
  <conditionalFormatting sqref="C33">
    <cfRule type="expression" dxfId="96" priority="6">
      <formula>ISBLANK($B33)</formula>
    </cfRule>
  </conditionalFormatting>
  <conditionalFormatting sqref="H29:H30">
    <cfRule type="expression" dxfId="95" priority="5">
      <formula>ISBLANK($B29)</formula>
    </cfRule>
  </conditionalFormatting>
  <conditionalFormatting sqref="H31">
    <cfRule type="expression" dxfId="94" priority="4">
      <formula>ISBLANK($B31)</formula>
    </cfRule>
  </conditionalFormatting>
  <conditionalFormatting sqref="H32">
    <cfRule type="expression" dxfId="93" priority="3">
      <formula>ISBLANK($B32)</formula>
    </cfRule>
  </conditionalFormatting>
  <conditionalFormatting sqref="H33">
    <cfRule type="expression" dxfId="92" priority="2">
      <formula>ISBLANK($B33)</formula>
    </cfRule>
  </conditionalFormatting>
  <conditionalFormatting sqref="H22:J22">
    <cfRule type="expression" dxfId="91" priority="1">
      <formula>ISBLANK($B22)</formula>
    </cfRule>
  </conditionalFormatting>
  <dataValidations count="1">
    <dataValidation type="list" allowBlank="1" showInputMessage="1" showErrorMessage="1" sqref="E8:E9 J19 E19 E12:E14 J50:J51 E47:E52 E72 J72" xr:uid="{00000000-0002-0000-0700-000000000000}">
      <formula1>"Yes, No"</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howOutlineSymbols="0"/>
  </sheetPr>
  <dimension ref="A1:R94"/>
  <sheetViews>
    <sheetView tabSelected="1" showOutlineSymbols="0" zoomScale="96" zoomScaleNormal="96" workbookViewId="0">
      <selection activeCell="H1" sqref="H1:K4"/>
    </sheetView>
  </sheetViews>
  <sheetFormatPr defaultColWidth="11.44140625" defaultRowHeight="13.2"/>
  <cols>
    <col min="1" max="1" width="5.44140625" style="1" customWidth="1"/>
    <col min="2" max="2" width="30.6640625" style="1" customWidth="1"/>
    <col min="3" max="3" width="20.33203125" style="1" bestFit="1" customWidth="1"/>
    <col min="4" max="4" width="20.33203125" style="1" customWidth="1"/>
    <col min="5" max="5" width="20.6640625" style="1" customWidth="1"/>
    <col min="6" max="6" width="4.33203125" style="1" customWidth="1"/>
    <col min="7" max="7" width="30.6640625" style="1" customWidth="1"/>
    <col min="8" max="8" width="20.33203125" style="1" bestFit="1" customWidth="1"/>
    <col min="9" max="9" width="20.33203125" style="1" customWidth="1"/>
    <col min="10" max="10" width="20.6640625" style="1" customWidth="1"/>
    <col min="11" max="11" width="3.88671875" style="1" customWidth="1"/>
    <col min="12" max="12" width="30.6640625" style="1" customWidth="1"/>
    <col min="13" max="13" width="23.6640625" style="1" customWidth="1"/>
    <col min="14" max="14" width="25" style="1" customWidth="1"/>
    <col min="15" max="16384" width="11.44140625" style="1"/>
  </cols>
  <sheetData>
    <row r="1" spans="1:18">
      <c r="B1" s="314" t="s">
        <v>42</v>
      </c>
      <c r="C1" s="315"/>
      <c r="D1" s="315"/>
      <c r="E1" s="315"/>
      <c r="F1" s="104"/>
      <c r="G1" s="345" t="s">
        <v>138</v>
      </c>
      <c r="H1" s="346"/>
      <c r="I1" s="346"/>
      <c r="J1" s="346"/>
      <c r="K1" s="346"/>
    </row>
    <row r="2" spans="1:18">
      <c r="B2" s="102" t="s">
        <v>26</v>
      </c>
      <c r="C2" s="327" t="str">
        <f>'Product formulation'!C2</f>
        <v/>
      </c>
      <c r="D2" s="327"/>
      <c r="E2" s="327"/>
      <c r="F2" s="24"/>
      <c r="G2" s="345"/>
      <c r="H2" s="346"/>
      <c r="I2" s="346"/>
      <c r="J2" s="346"/>
      <c r="K2" s="346"/>
    </row>
    <row r="3" spans="1:18">
      <c r="B3" s="102" t="s">
        <v>4</v>
      </c>
      <c r="C3" s="327" t="str">
        <f>'Product formulation'!C3</f>
        <v/>
      </c>
      <c r="D3" s="327"/>
      <c r="E3" s="327"/>
      <c r="F3" s="24"/>
      <c r="G3" s="345"/>
      <c r="H3" s="346"/>
      <c r="I3" s="346"/>
      <c r="J3" s="346"/>
      <c r="K3" s="346"/>
    </row>
    <row r="4" spans="1:18">
      <c r="B4" s="103" t="s">
        <v>27</v>
      </c>
      <c r="C4" s="328" t="str">
        <f>'Product formulation'!C4</f>
        <v/>
      </c>
      <c r="D4" s="328"/>
      <c r="E4" s="328"/>
      <c r="F4" s="24"/>
      <c r="G4" s="345"/>
      <c r="H4" s="346"/>
      <c r="I4" s="346"/>
      <c r="J4" s="346"/>
      <c r="K4" s="346"/>
    </row>
    <row r="6" spans="1:18" s="193" customFormat="1" ht="15.6">
      <c r="A6" s="193" t="s">
        <v>91</v>
      </c>
    </row>
    <row r="7" spans="1:18">
      <c r="C7" s="56"/>
      <c r="D7" s="56"/>
    </row>
    <row r="8" spans="1:18" ht="12.75" customHeight="1">
      <c r="B8" s="329" t="s">
        <v>94</v>
      </c>
      <c r="C8" s="330"/>
      <c r="D8" s="331"/>
      <c r="E8" s="191" t="s">
        <v>134</v>
      </c>
    </row>
    <row r="9" spans="1:18" ht="25.5" customHeight="1">
      <c r="B9" s="329" t="s">
        <v>96</v>
      </c>
      <c r="C9" s="330"/>
      <c r="D9" s="331"/>
      <c r="E9" s="261"/>
      <c r="G9" s="342" t="str">
        <f>IF(E8="Yes","Provide the number of foreseen refillings, or use the default values of R = 5 for plastics and R = 2 for cardboard","")</f>
        <v/>
      </c>
      <c r="H9" s="355"/>
      <c r="I9" s="355"/>
      <c r="J9" s="355"/>
    </row>
    <row r="10" spans="1:18" ht="27.75" customHeight="1">
      <c r="B10" s="329" t="s">
        <v>97</v>
      </c>
      <c r="C10" s="330"/>
      <c r="D10" s="331"/>
      <c r="E10" s="262" t="e">
        <f>IF(E8="No","",ROUNDUP(E15*E9/J15,0))</f>
        <v>#DIV/0!</v>
      </c>
    </row>
    <row r="11" spans="1:18">
      <c r="B11" s="329" t="s">
        <v>98</v>
      </c>
      <c r="C11" s="330"/>
      <c r="D11" s="331"/>
      <c r="E11" s="97"/>
    </row>
    <row r="13" spans="1:18" s="11" customFormat="1" ht="15" customHeight="1">
      <c r="B13" s="347" t="s">
        <v>145</v>
      </c>
      <c r="C13" s="347"/>
      <c r="D13" s="347"/>
      <c r="E13" s="347"/>
      <c r="G13" s="347" t="s">
        <v>156</v>
      </c>
      <c r="H13" s="347"/>
      <c r="I13" s="347"/>
      <c r="J13" s="347"/>
    </row>
    <row r="14" spans="1:18" s="199" customFormat="1" ht="27.75" customHeight="1">
      <c r="B14" s="329" t="s">
        <v>102</v>
      </c>
      <c r="C14" s="330"/>
      <c r="D14" s="331"/>
      <c r="E14" s="97"/>
      <c r="G14" s="329" t="s">
        <v>140</v>
      </c>
      <c r="H14" s="330"/>
      <c r="I14" s="331"/>
      <c r="J14" s="97"/>
    </row>
    <row r="15" spans="1:18" s="199" customFormat="1" ht="28.5" customHeight="1">
      <c r="B15" s="329" t="s">
        <v>103</v>
      </c>
      <c r="C15" s="330"/>
      <c r="D15" s="331"/>
      <c r="E15" s="97"/>
      <c r="G15" s="329" t="s">
        <v>141</v>
      </c>
      <c r="H15" s="330"/>
      <c r="I15" s="331"/>
      <c r="J15" s="97"/>
    </row>
    <row r="16" spans="1:18" s="199" customFormat="1" ht="24" customHeight="1">
      <c r="B16" s="329" t="s">
        <v>104</v>
      </c>
      <c r="C16" s="330"/>
      <c r="D16" s="331"/>
      <c r="E16" s="97"/>
      <c r="G16" s="329" t="s">
        <v>104</v>
      </c>
      <c r="H16" s="330"/>
      <c r="I16" s="331"/>
      <c r="J16" s="97"/>
      <c r="L16" s="332" t="str">
        <f>IF(OR(E16="Yes",J16="Yes"),"Only allowed to group the product and its refill or for products that include several elements for their use. We provide pictures of the products as marketed or relevant evidence.","")</f>
        <v/>
      </c>
      <c r="M16" s="332"/>
      <c r="N16" s="332"/>
      <c r="O16" s="264"/>
      <c r="P16" s="264"/>
      <c r="Q16" s="264"/>
      <c r="R16" s="264"/>
    </row>
    <row r="17" spans="2:10" s="199" customFormat="1" ht="18.75" customHeight="1">
      <c r="B17" s="329" t="s">
        <v>105</v>
      </c>
      <c r="C17" s="330"/>
      <c r="D17" s="331"/>
      <c r="E17" s="97"/>
      <c r="G17" s="329" t="s">
        <v>105</v>
      </c>
      <c r="H17" s="330"/>
      <c r="I17" s="331"/>
      <c r="J17" s="97"/>
    </row>
    <row r="18" spans="2:10" ht="39.6">
      <c r="B18" s="194" t="s">
        <v>106</v>
      </c>
      <c r="C18" s="194" t="s">
        <v>127</v>
      </c>
      <c r="D18" s="194" t="s">
        <v>133</v>
      </c>
      <c r="E18" s="194" t="s">
        <v>135</v>
      </c>
      <c r="G18" s="194" t="s">
        <v>106</v>
      </c>
      <c r="H18" s="194" t="s">
        <v>127</v>
      </c>
      <c r="I18" s="194" t="s">
        <v>133</v>
      </c>
      <c r="J18" s="194" t="s">
        <v>136</v>
      </c>
    </row>
    <row r="19" spans="2:10">
      <c r="B19" s="9"/>
      <c r="C19" s="211"/>
      <c r="D19" s="211"/>
      <c r="E19" s="211"/>
      <c r="G19" s="9"/>
      <c r="H19" s="211"/>
      <c r="I19" s="211"/>
      <c r="J19" s="211"/>
    </row>
    <row r="20" spans="2:10">
      <c r="B20" s="9"/>
      <c r="C20" s="211"/>
      <c r="D20" s="211"/>
      <c r="E20" s="211"/>
      <c r="G20" s="9"/>
      <c r="H20" s="211"/>
      <c r="I20" s="211"/>
      <c r="J20" s="211"/>
    </row>
    <row r="21" spans="2:10">
      <c r="B21" s="9"/>
      <c r="C21" s="211"/>
      <c r="D21" s="211"/>
      <c r="E21" s="211"/>
      <c r="G21" s="9"/>
      <c r="H21" s="211"/>
      <c r="I21" s="211"/>
      <c r="J21" s="211"/>
    </row>
    <row r="22" spans="2:10">
      <c r="B22" s="9"/>
      <c r="C22" s="211"/>
      <c r="D22" s="211"/>
      <c r="E22" s="211"/>
      <c r="G22" s="9"/>
      <c r="H22" s="211"/>
      <c r="I22" s="211"/>
      <c r="J22" s="211"/>
    </row>
    <row r="23" spans="2:10">
      <c r="B23" s="9"/>
      <c r="C23" s="211"/>
      <c r="D23" s="211"/>
      <c r="E23" s="211"/>
      <c r="G23" s="9"/>
      <c r="H23" s="211"/>
      <c r="I23" s="211"/>
      <c r="J23" s="211"/>
    </row>
    <row r="24" spans="2:10" ht="18.75" customHeight="1">
      <c r="B24" s="200" t="s">
        <v>30</v>
      </c>
      <c r="C24" s="212">
        <f>SUM(C19:C23)</f>
        <v>0</v>
      </c>
      <c r="D24" s="212">
        <f>SUM(D19:D23)</f>
        <v>0</v>
      </c>
      <c r="E24" s="212">
        <f>SUM(E19:E23)</f>
        <v>0</v>
      </c>
      <c r="G24" s="200" t="s">
        <v>30</v>
      </c>
      <c r="H24" s="212">
        <f>SUM(H19:H23)</f>
        <v>0</v>
      </c>
      <c r="I24" s="212">
        <f>SUM(I19:I23)</f>
        <v>0</v>
      </c>
      <c r="J24" s="212">
        <f>SUM(J19:J23)</f>
        <v>0</v>
      </c>
    </row>
    <row r="25" spans="2:10" ht="26.4">
      <c r="B25" s="194" t="s">
        <v>107</v>
      </c>
      <c r="C25" s="342" t="s">
        <v>128</v>
      </c>
      <c r="D25" s="343"/>
      <c r="E25" s="194" t="s">
        <v>136</v>
      </c>
      <c r="G25" s="194" t="s">
        <v>107</v>
      </c>
      <c r="H25" s="342" t="s">
        <v>128</v>
      </c>
      <c r="I25" s="343"/>
      <c r="J25" s="194" t="s">
        <v>136</v>
      </c>
    </row>
    <row r="26" spans="2:10">
      <c r="B26" s="9"/>
      <c r="C26" s="339"/>
      <c r="D26" s="340"/>
      <c r="E26" s="211"/>
      <c r="G26" s="9"/>
      <c r="H26" s="339"/>
      <c r="I26" s="340"/>
      <c r="J26" s="211"/>
    </row>
    <row r="27" spans="2:10">
      <c r="B27" s="9"/>
      <c r="C27" s="339"/>
      <c r="D27" s="340"/>
      <c r="E27" s="211"/>
      <c r="G27" s="9"/>
      <c r="H27" s="339"/>
      <c r="I27" s="340"/>
      <c r="J27" s="211"/>
    </row>
    <row r="28" spans="2:10">
      <c r="B28" s="9"/>
      <c r="C28" s="339"/>
      <c r="D28" s="340"/>
      <c r="E28" s="211"/>
      <c r="G28" s="9"/>
      <c r="H28" s="339"/>
      <c r="I28" s="340"/>
      <c r="J28" s="211"/>
    </row>
    <row r="29" spans="2:10">
      <c r="B29" s="9"/>
      <c r="C29" s="339"/>
      <c r="D29" s="340"/>
      <c r="E29" s="211"/>
      <c r="G29" s="9"/>
      <c r="H29" s="339"/>
      <c r="I29" s="340"/>
      <c r="J29" s="211"/>
    </row>
    <row r="30" spans="2:10">
      <c r="B30" s="9"/>
      <c r="C30" s="339"/>
      <c r="D30" s="340"/>
      <c r="E30" s="211"/>
      <c r="G30" s="9"/>
      <c r="H30" s="339"/>
      <c r="I30" s="340"/>
      <c r="J30" s="211"/>
    </row>
    <row r="31" spans="2:10" ht="18.75" customHeight="1">
      <c r="B31" s="200" t="s">
        <v>30</v>
      </c>
      <c r="C31" s="335">
        <f>SUM(C26:C30)</f>
        <v>0</v>
      </c>
      <c r="D31" s="336"/>
      <c r="E31" s="258">
        <f>SUM(E26:E30)</f>
        <v>0</v>
      </c>
      <c r="G31" s="200" t="s">
        <v>30</v>
      </c>
      <c r="H31" s="335">
        <f>SUM(H26:H30)</f>
        <v>0</v>
      </c>
      <c r="I31" s="336"/>
      <c r="J31" s="258">
        <f>SUM(J26:J30)</f>
        <v>0</v>
      </c>
    </row>
    <row r="32" spans="2:10" ht="26.4">
      <c r="B32" s="201" t="s">
        <v>108</v>
      </c>
      <c r="C32" s="335">
        <f>IF($E$17="",0,C31/$E$17)</f>
        <v>0</v>
      </c>
      <c r="D32" s="336"/>
      <c r="E32" s="258">
        <f>IF($E$17="",0,E31/$E$17)</f>
        <v>0</v>
      </c>
      <c r="G32" s="201" t="s">
        <v>108</v>
      </c>
      <c r="H32" s="335">
        <f>IF($E$17="",0,H31/$E$17)</f>
        <v>0</v>
      </c>
      <c r="I32" s="336"/>
      <c r="J32" s="258">
        <f>IF($E$17="",0,J31/$E$17)</f>
        <v>0</v>
      </c>
    </row>
    <row r="33" spans="2:10" s="199" customFormat="1" ht="18.75" customHeight="1">
      <c r="B33" s="341" t="s">
        <v>109</v>
      </c>
      <c r="C33" s="341"/>
      <c r="D33" s="254"/>
      <c r="E33" s="259">
        <f>C24+C32</f>
        <v>0</v>
      </c>
      <c r="G33" s="341" t="s">
        <v>142</v>
      </c>
      <c r="H33" s="341"/>
      <c r="I33" s="254"/>
      <c r="J33" s="259">
        <f>H24+H32</f>
        <v>0</v>
      </c>
    </row>
    <row r="34" spans="2:10" s="199" customFormat="1" ht="18.75" customHeight="1">
      <c r="B34" s="341" t="s">
        <v>110</v>
      </c>
      <c r="C34" s="341"/>
      <c r="D34" s="254"/>
      <c r="E34" s="259">
        <f>E24+E32</f>
        <v>0</v>
      </c>
      <c r="G34" s="341" t="s">
        <v>143</v>
      </c>
      <c r="H34" s="341"/>
      <c r="I34" s="254"/>
      <c r="J34" s="259">
        <f>J24+J32</f>
        <v>0</v>
      </c>
    </row>
    <row r="36" spans="2:10" ht="25.5" customHeight="1">
      <c r="C36" s="337" t="s">
        <v>129</v>
      </c>
      <c r="D36" s="338"/>
      <c r="E36" s="263" t="str">
        <f>IF(E14="","",(D24/C24))</f>
        <v/>
      </c>
      <c r="H36" s="337" t="s">
        <v>129</v>
      </c>
      <c r="I36" s="338"/>
      <c r="J36" s="263" t="str">
        <f>IF(J14="","",(I24/H24))</f>
        <v/>
      </c>
    </row>
    <row r="37" spans="2:10">
      <c r="C37" s="333" t="s">
        <v>130</v>
      </c>
      <c r="D37" s="334"/>
      <c r="E37" s="256" t="str">
        <f>IF(E14="","",(IF(E8="Yes",((E33+(J33*E10)+E34+(J34*E10))/(E14+(J14*E10))),((E33+E34)/E14))))</f>
        <v/>
      </c>
      <c r="H37" s="202" t="s">
        <v>130</v>
      </c>
      <c r="I37" s="202"/>
      <c r="J37" s="256" t="str">
        <f>IF(J14="","",(J33+J34)/J14)</f>
        <v/>
      </c>
    </row>
    <row r="38" spans="2:10">
      <c r="C38" s="333" t="s">
        <v>76</v>
      </c>
      <c r="D38" s="334"/>
      <c r="E38" s="203">
        <v>0.2</v>
      </c>
      <c r="H38" s="168" t="s">
        <v>76</v>
      </c>
      <c r="I38" s="168"/>
      <c r="J38" s="203">
        <v>0.2</v>
      </c>
    </row>
    <row r="39" spans="2:10">
      <c r="C39" s="333" t="s">
        <v>77</v>
      </c>
      <c r="D39" s="334"/>
      <c r="E39" s="203" t="str">
        <f>IF(OR(E37&lt;E38,E38=E37,E11="Yes",E36&gt;0.8),"Ok","No ok")</f>
        <v>Ok</v>
      </c>
      <c r="H39" s="169" t="s">
        <v>77</v>
      </c>
      <c r="I39" s="168"/>
      <c r="J39" s="203" t="str">
        <f>IF(OR(J37&lt;=J36&gt;0.8),"Ok","No ok")</f>
        <v>Ok</v>
      </c>
    </row>
    <row r="41" spans="2:10" ht="16.5" customHeight="1">
      <c r="B41" s="347" t="s">
        <v>146</v>
      </c>
      <c r="C41" s="347"/>
      <c r="D41" s="347"/>
      <c r="E41" s="347"/>
    </row>
    <row r="42" spans="2:10" ht="26.4">
      <c r="B42" s="194" t="s">
        <v>147</v>
      </c>
      <c r="C42" s="194" t="s">
        <v>154</v>
      </c>
      <c r="D42" s="194" t="s">
        <v>133</v>
      </c>
      <c r="E42" s="194" t="s">
        <v>155</v>
      </c>
    </row>
    <row r="43" spans="2:10">
      <c r="B43" s="9"/>
      <c r="C43" s="211"/>
      <c r="D43" s="211"/>
      <c r="E43" s="211"/>
    </row>
    <row r="44" spans="2:10">
      <c r="B44" s="9"/>
      <c r="C44" s="211"/>
      <c r="D44" s="211"/>
      <c r="E44" s="211"/>
    </row>
    <row r="45" spans="2:10">
      <c r="B45" s="9"/>
      <c r="C45" s="211"/>
      <c r="D45" s="211"/>
      <c r="E45" s="211"/>
    </row>
    <row r="46" spans="2:10">
      <c r="B46" s="9"/>
      <c r="C46" s="211"/>
      <c r="D46" s="211"/>
      <c r="E46" s="211"/>
    </row>
    <row r="47" spans="2:10">
      <c r="B47" s="9"/>
      <c r="C47" s="211"/>
      <c r="D47" s="211"/>
      <c r="E47" s="211"/>
    </row>
    <row r="48" spans="2:10">
      <c r="B48" s="9"/>
      <c r="C48" s="211"/>
      <c r="D48" s="211"/>
      <c r="E48" s="211"/>
    </row>
    <row r="49" spans="1:10">
      <c r="B49" s="9"/>
      <c r="C49" s="211"/>
      <c r="D49" s="211"/>
      <c r="E49" s="211"/>
    </row>
    <row r="50" spans="1:10">
      <c r="B50" s="9"/>
      <c r="C50" s="211"/>
      <c r="D50" s="211"/>
      <c r="E50" s="211"/>
    </row>
    <row r="51" spans="1:10">
      <c r="B51" s="200" t="s">
        <v>30</v>
      </c>
      <c r="C51" s="212">
        <f>SUM(C43:C50)</f>
        <v>0</v>
      </c>
      <c r="D51" s="212">
        <f>SUM(D43:D50)</f>
        <v>0</v>
      </c>
      <c r="E51" s="212">
        <f>SUM(E43:E50)</f>
        <v>0</v>
      </c>
    </row>
    <row r="52" spans="1:10" ht="18" customHeight="1">
      <c r="B52" s="341" t="s">
        <v>148</v>
      </c>
      <c r="C52" s="341"/>
      <c r="D52" s="254"/>
      <c r="E52" s="257"/>
    </row>
    <row r="54" spans="1:10" ht="25.5" customHeight="1">
      <c r="C54" s="337" t="s">
        <v>129</v>
      </c>
      <c r="D54" s="338"/>
      <c r="E54" s="263" t="str">
        <f>IF(E52="","",(D51/C51))</f>
        <v/>
      </c>
    </row>
    <row r="55" spans="1:10">
      <c r="C55" s="337" t="s">
        <v>130</v>
      </c>
      <c r="D55" s="338"/>
      <c r="E55" s="256" t="str">
        <f>IF(E52="","",((C51+E51)/(2*E52)))</f>
        <v/>
      </c>
    </row>
    <row r="56" spans="1:10">
      <c r="C56" s="337" t="s">
        <v>76</v>
      </c>
      <c r="D56" s="338"/>
      <c r="E56" s="204">
        <v>0.8</v>
      </c>
    </row>
    <row r="57" spans="1:10">
      <c r="C57" s="337" t="s">
        <v>77</v>
      </c>
      <c r="D57" s="338"/>
      <c r="E57" s="203" t="str">
        <f>IF(OR(E55&lt;=E56,E54&gt;0.8),"Ok","No ok")</f>
        <v>Ok</v>
      </c>
    </row>
    <row r="59" spans="1:10" s="193" customFormat="1" ht="15.6">
      <c r="A59" s="193" t="s">
        <v>92</v>
      </c>
    </row>
    <row r="60" spans="1:10" s="255" customFormat="1" ht="15.6"/>
    <row r="61" spans="1:10" s="255" customFormat="1" ht="51.75" customHeight="1">
      <c r="B61" s="329" t="s">
        <v>111</v>
      </c>
      <c r="C61" s="330"/>
      <c r="D61" s="331"/>
      <c r="E61" s="97"/>
    </row>
    <row r="62" spans="1:10" s="255" customFormat="1" ht="51.75" customHeight="1">
      <c r="B62" s="329" t="s">
        <v>112</v>
      </c>
      <c r="C62" s="330"/>
      <c r="D62" s="331"/>
      <c r="E62" s="97"/>
    </row>
    <row r="63" spans="1:10" s="255" customFormat="1" ht="39" customHeight="1">
      <c r="B63" s="329" t="str">
        <f>IF(E8="YES","(3) On the label is a reference to use refills in order to minimise impacts on the environment and save money.","")</f>
        <v/>
      </c>
      <c r="C63" s="330"/>
      <c r="D63" s="331"/>
      <c r="E63" s="97"/>
    </row>
    <row r="64" spans="1:10" ht="43.5" customHeight="1">
      <c r="B64" s="329" t="s">
        <v>113</v>
      </c>
      <c r="C64" s="330"/>
      <c r="D64" s="331"/>
      <c r="E64" s="97"/>
      <c r="G64" s="255"/>
      <c r="H64" s="255"/>
      <c r="I64" s="255"/>
      <c r="J64" s="255"/>
    </row>
    <row r="65" spans="1:10" ht="43.5" customHeight="1">
      <c r="B65" s="329" t="s">
        <v>114</v>
      </c>
      <c r="C65" s="330"/>
      <c r="D65" s="331"/>
      <c r="E65" s="97"/>
    </row>
    <row r="66" spans="1:10" ht="43.5" customHeight="1">
      <c r="B66" s="329" t="s">
        <v>149</v>
      </c>
      <c r="C66" s="330"/>
      <c r="D66" s="331"/>
      <c r="E66" s="97"/>
      <c r="G66" s="354" t="str">
        <f>IF(E66="Yes","We provide pictures of the products as marketed or relevant evidence","")</f>
        <v/>
      </c>
      <c r="H66" s="354"/>
      <c r="I66" s="354"/>
      <c r="J66" s="354"/>
    </row>
    <row r="67" spans="1:10" ht="43.5" customHeight="1">
      <c r="B67" s="329" t="s">
        <v>150</v>
      </c>
      <c r="C67" s="330"/>
      <c r="D67" s="331"/>
      <c r="E67" s="97" t="s">
        <v>134</v>
      </c>
      <c r="G67" s="329" t="str">
        <f>IF(E67="Yes","We provide pictures of the products as marketed or relevant evidence","")</f>
        <v/>
      </c>
      <c r="H67" s="330"/>
      <c r="I67" s="331"/>
    </row>
    <row r="68" spans="1:10" ht="33.75" customHeight="1">
      <c r="B68" s="324" t="s">
        <v>151</v>
      </c>
      <c r="C68" s="325"/>
      <c r="D68" s="325"/>
      <c r="E68" s="326"/>
      <c r="G68" s="25"/>
      <c r="H68" s="25"/>
      <c r="I68" s="25"/>
      <c r="J68" s="25"/>
    </row>
    <row r="69" spans="1:10" ht="18.75" customHeight="1">
      <c r="B69" s="329" t="s">
        <v>116</v>
      </c>
      <c r="C69" s="330"/>
      <c r="D69" s="331"/>
      <c r="E69" s="260">
        <f>C24+E14</f>
        <v>0</v>
      </c>
    </row>
    <row r="70" spans="1:10" ht="28.5" customHeight="1">
      <c r="B70" s="329" t="s">
        <v>117</v>
      </c>
      <c r="C70" s="330"/>
      <c r="D70" s="331"/>
      <c r="E70" s="97"/>
    </row>
    <row r="71" spans="1:10" ht="18.75" customHeight="1">
      <c r="B71" s="329" t="s">
        <v>118</v>
      </c>
      <c r="C71" s="330"/>
      <c r="D71" s="331"/>
      <c r="E71" s="260">
        <f>C24</f>
        <v>0</v>
      </c>
    </row>
    <row r="73" spans="1:10">
      <c r="C73" s="333" t="s">
        <v>131</v>
      </c>
      <c r="D73" s="334"/>
      <c r="E73" s="256" t="str">
        <f>IF(E70="","",(((E70-E71)/(E69-E71))*100))</f>
        <v/>
      </c>
    </row>
    <row r="74" spans="1:10">
      <c r="C74" s="333" t="s">
        <v>76</v>
      </c>
      <c r="D74" s="334"/>
      <c r="E74" s="203" t="str">
        <f>IF(C3="Rinse-off product",5,IF(C3="Leave-on product",10,"-"))</f>
        <v>-</v>
      </c>
    </row>
    <row r="75" spans="1:10">
      <c r="C75" s="333" t="s">
        <v>77</v>
      </c>
      <c r="D75" s="334"/>
      <c r="E75" s="203" t="str">
        <f>IF(OR(E73&lt;=E74,E66="Yes",E67="Yes",E70=""),"Ok","No ok")</f>
        <v>Ok</v>
      </c>
    </row>
    <row r="77" spans="1:10" s="193" customFormat="1" ht="15.6">
      <c r="A77" s="193" t="s">
        <v>93</v>
      </c>
    </row>
    <row r="79" spans="1:10">
      <c r="B79" s="344" t="s">
        <v>101</v>
      </c>
      <c r="C79" s="344"/>
      <c r="D79" s="344"/>
      <c r="E79" s="344"/>
      <c r="G79" s="344" t="s">
        <v>139</v>
      </c>
      <c r="H79" s="344"/>
      <c r="I79" s="344"/>
      <c r="J79" s="344"/>
    </row>
    <row r="80" spans="1:10">
      <c r="B80" s="194" t="s">
        <v>119</v>
      </c>
      <c r="C80" s="348" t="s">
        <v>132</v>
      </c>
      <c r="D80" s="348"/>
      <c r="E80" s="348"/>
      <c r="G80" s="194" t="s">
        <v>119</v>
      </c>
      <c r="H80" s="348" t="s">
        <v>132</v>
      </c>
      <c r="I80" s="348"/>
      <c r="J80" s="348"/>
    </row>
    <row r="81" spans="2:10">
      <c r="B81" s="213" t="s">
        <v>120</v>
      </c>
      <c r="C81" s="349"/>
      <c r="D81" s="349"/>
      <c r="E81" s="349"/>
      <c r="G81" s="213" t="s">
        <v>120</v>
      </c>
      <c r="H81" s="349"/>
      <c r="I81" s="349"/>
      <c r="J81" s="349"/>
    </row>
    <row r="82" spans="2:10" ht="12.9" customHeight="1">
      <c r="B82" s="213" t="s">
        <v>121</v>
      </c>
      <c r="C82" s="349"/>
      <c r="D82" s="349"/>
      <c r="E82" s="349"/>
      <c r="G82" s="213" t="s">
        <v>121</v>
      </c>
      <c r="H82" s="349"/>
      <c r="I82" s="349"/>
      <c r="J82" s="349"/>
    </row>
    <row r="83" spans="2:10">
      <c r="B83" s="213" t="s">
        <v>122</v>
      </c>
      <c r="C83" s="349"/>
      <c r="D83" s="349"/>
      <c r="E83" s="349"/>
      <c r="G83" s="213" t="s">
        <v>122</v>
      </c>
      <c r="H83" s="349"/>
      <c r="I83" s="349"/>
      <c r="J83" s="349"/>
    </row>
    <row r="84" spans="2:10">
      <c r="B84" s="213" t="s">
        <v>123</v>
      </c>
      <c r="C84" s="349"/>
      <c r="D84" s="349"/>
      <c r="E84" s="349"/>
      <c r="G84" s="213" t="s">
        <v>123</v>
      </c>
      <c r="H84" s="349"/>
      <c r="I84" s="349"/>
      <c r="J84" s="349"/>
    </row>
    <row r="85" spans="2:10">
      <c r="B85" s="265" t="s">
        <v>124</v>
      </c>
      <c r="C85" s="350"/>
      <c r="D85" s="350"/>
      <c r="E85" s="350"/>
      <c r="G85" s="213" t="s">
        <v>124</v>
      </c>
      <c r="H85" s="349"/>
      <c r="I85" s="349"/>
      <c r="J85" s="349"/>
    </row>
    <row r="86" spans="2:10" ht="12.75" customHeight="1">
      <c r="B86" s="351" t="s">
        <v>152</v>
      </c>
      <c r="C86" s="352"/>
      <c r="D86" s="352"/>
      <c r="E86" s="353"/>
      <c r="G86" s="351" t="s">
        <v>152</v>
      </c>
      <c r="H86" s="352"/>
      <c r="I86" s="352"/>
      <c r="J86" s="353"/>
    </row>
    <row r="88" spans="2:10" ht="83.25" customHeight="1">
      <c r="B88" s="329" t="s">
        <v>153</v>
      </c>
      <c r="C88" s="330"/>
      <c r="D88" s="331"/>
      <c r="E88" s="97"/>
      <c r="G88" s="329" t="s">
        <v>153</v>
      </c>
      <c r="H88" s="330"/>
      <c r="I88" s="331"/>
      <c r="J88" s="97"/>
    </row>
    <row r="90" spans="2:10">
      <c r="B90" s="1" t="s">
        <v>31</v>
      </c>
    </row>
    <row r="91" spans="2:10">
      <c r="B91" s="304"/>
      <c r="C91" s="305"/>
      <c r="D91" s="305"/>
      <c r="E91" s="305"/>
      <c r="F91" s="305"/>
      <c r="G91" s="305"/>
      <c r="H91" s="305"/>
      <c r="I91" s="305"/>
      <c r="J91" s="306"/>
    </row>
    <row r="92" spans="2:10">
      <c r="B92" s="307"/>
      <c r="C92" s="308"/>
      <c r="D92" s="308"/>
      <c r="E92" s="308"/>
      <c r="F92" s="308"/>
      <c r="G92" s="308"/>
      <c r="H92" s="308"/>
      <c r="I92" s="308"/>
      <c r="J92" s="309"/>
    </row>
    <row r="93" spans="2:10">
      <c r="B93" s="307"/>
      <c r="C93" s="308"/>
      <c r="D93" s="308"/>
      <c r="E93" s="308"/>
      <c r="F93" s="308"/>
      <c r="G93" s="308"/>
      <c r="H93" s="308"/>
      <c r="I93" s="308"/>
      <c r="J93" s="309"/>
    </row>
    <row r="94" spans="2:10">
      <c r="B94" s="310"/>
      <c r="C94" s="311"/>
      <c r="D94" s="311"/>
      <c r="E94" s="311"/>
      <c r="F94" s="311"/>
      <c r="G94" s="311"/>
      <c r="H94" s="311"/>
      <c r="I94" s="311"/>
      <c r="J94" s="312"/>
    </row>
  </sheetData>
  <sheetProtection algorithmName="SHA-512" hashValue="DvICttjSP1Oik2T23tUdauP8ReNHcXDwIJGOx2vEQe4xZUh8c53RGWfF4GsebOE9EYVBHO2E7SN+Iv7igumDxA==" saltValue="MepRGrxRo10yst1PxnCBkw==" spinCount="100000" sheet="1" selectLockedCells="1"/>
  <mergeCells count="88">
    <mergeCell ref="B1:E1"/>
    <mergeCell ref="G1:G4"/>
    <mergeCell ref="H1:K4"/>
    <mergeCell ref="C2:E2"/>
    <mergeCell ref="C3:E3"/>
    <mergeCell ref="C4:E4"/>
    <mergeCell ref="B11:D11"/>
    <mergeCell ref="B13:E13"/>
    <mergeCell ref="G13:J13"/>
    <mergeCell ref="B8:D8"/>
    <mergeCell ref="B9:D9"/>
    <mergeCell ref="G9:J9"/>
    <mergeCell ref="B10:D10"/>
    <mergeCell ref="C26:D26"/>
    <mergeCell ref="H26:I26"/>
    <mergeCell ref="B14:D14"/>
    <mergeCell ref="G14:I14"/>
    <mergeCell ref="B15:D15"/>
    <mergeCell ref="G15:I15"/>
    <mergeCell ref="B16:D16"/>
    <mergeCell ref="G16:I16"/>
    <mergeCell ref="L16:N16"/>
    <mergeCell ref="B17:D17"/>
    <mergeCell ref="G17:I17"/>
    <mergeCell ref="C25:D25"/>
    <mergeCell ref="H25:I25"/>
    <mergeCell ref="C27:D27"/>
    <mergeCell ref="H27:I27"/>
    <mergeCell ref="C28:D28"/>
    <mergeCell ref="H28:I28"/>
    <mergeCell ref="C29:D29"/>
    <mergeCell ref="H29:I29"/>
    <mergeCell ref="C30:D30"/>
    <mergeCell ref="H30:I30"/>
    <mergeCell ref="C31:D31"/>
    <mergeCell ref="H31:I31"/>
    <mergeCell ref="C32:D32"/>
    <mergeCell ref="H32:I32"/>
    <mergeCell ref="B61:D61"/>
    <mergeCell ref="B33:C33"/>
    <mergeCell ref="G33:H33"/>
    <mergeCell ref="B34:C34"/>
    <mergeCell ref="G34:H34"/>
    <mergeCell ref="C36:D36"/>
    <mergeCell ref="H36:I36"/>
    <mergeCell ref="C37:D37"/>
    <mergeCell ref="C38:D38"/>
    <mergeCell ref="C39:D39"/>
    <mergeCell ref="B41:E41"/>
    <mergeCell ref="B52:C52"/>
    <mergeCell ref="B71:D71"/>
    <mergeCell ref="B62:D62"/>
    <mergeCell ref="B63:D63"/>
    <mergeCell ref="B64:D64"/>
    <mergeCell ref="B65:D65"/>
    <mergeCell ref="B67:D67"/>
    <mergeCell ref="B91:J94"/>
    <mergeCell ref="C54:D54"/>
    <mergeCell ref="C55:D55"/>
    <mergeCell ref="C56:D56"/>
    <mergeCell ref="C57:D57"/>
    <mergeCell ref="B66:D66"/>
    <mergeCell ref="C82:E82"/>
    <mergeCell ref="H82:J82"/>
    <mergeCell ref="C83:E83"/>
    <mergeCell ref="H83:J83"/>
    <mergeCell ref="C84:E84"/>
    <mergeCell ref="H84:J84"/>
    <mergeCell ref="B79:E79"/>
    <mergeCell ref="G79:J79"/>
    <mergeCell ref="C80:E80"/>
    <mergeCell ref="H80:J80"/>
    <mergeCell ref="G67:I67"/>
    <mergeCell ref="G66:J66"/>
    <mergeCell ref="B68:E68"/>
    <mergeCell ref="B88:D88"/>
    <mergeCell ref="G88:I88"/>
    <mergeCell ref="C85:E85"/>
    <mergeCell ref="H85:J85"/>
    <mergeCell ref="B86:E86"/>
    <mergeCell ref="G86:J86"/>
    <mergeCell ref="C81:E81"/>
    <mergeCell ref="H81:J81"/>
    <mergeCell ref="C73:D73"/>
    <mergeCell ref="C74:D74"/>
    <mergeCell ref="C75:D75"/>
    <mergeCell ref="B69:D69"/>
    <mergeCell ref="B70:D70"/>
  </mergeCells>
  <conditionalFormatting sqref="C19:E23 C45:E50">
    <cfRule type="expression" dxfId="90" priority="25">
      <formula>ISBLANK($B19)</formula>
    </cfRule>
  </conditionalFormatting>
  <conditionalFormatting sqref="C26:C27 E26:E30">
    <cfRule type="expression" dxfId="89" priority="24">
      <formula>ISBLANK($B26)</formula>
    </cfRule>
  </conditionalFormatting>
  <conditionalFormatting sqref="H20:J23">
    <cfRule type="expression" dxfId="88" priority="23">
      <formula>ISBLANK($G20)</formula>
    </cfRule>
  </conditionalFormatting>
  <conditionalFormatting sqref="J26:J30">
    <cfRule type="expression" dxfId="87" priority="22">
      <formula>ISBLANK($G26)</formula>
    </cfRule>
  </conditionalFormatting>
  <conditionalFormatting sqref="E9">
    <cfRule type="expression" dxfId="86" priority="21">
      <formula>$E$8="Yes"</formula>
    </cfRule>
  </conditionalFormatting>
  <conditionalFormatting sqref="E39">
    <cfRule type="beginsWith" dxfId="85" priority="19" operator="beginsWith" text="No">
      <formula>LEFT(E39,LEN("No"))="No"</formula>
    </cfRule>
    <cfRule type="beginsWith" dxfId="84" priority="20" operator="beginsWith" text="Ok">
      <formula>LEFT(E39,LEN("Ok"))="Ok"</formula>
    </cfRule>
  </conditionalFormatting>
  <conditionalFormatting sqref="J39">
    <cfRule type="beginsWith" dxfId="83" priority="17" operator="beginsWith" text="No">
      <formula>LEFT(J39,LEN("No"))="No"</formula>
    </cfRule>
    <cfRule type="beginsWith" dxfId="82" priority="18" operator="beginsWith" text="Ok">
      <formula>LEFT(J39,LEN("Ok"))="Ok"</formula>
    </cfRule>
  </conditionalFormatting>
  <conditionalFormatting sqref="E57">
    <cfRule type="beginsWith" dxfId="81" priority="15" operator="beginsWith" text="No">
      <formula>LEFT(E57,LEN("No"))="No"</formula>
    </cfRule>
    <cfRule type="beginsWith" dxfId="80" priority="16" operator="beginsWith" text="Ok">
      <formula>LEFT(E57,LEN("Ok"))="Ok"</formula>
    </cfRule>
  </conditionalFormatting>
  <conditionalFormatting sqref="E75">
    <cfRule type="beginsWith" dxfId="79" priority="12" operator="beginsWith" text="No">
      <formula>LEFT(E75,LEN("No"))="No"</formula>
    </cfRule>
    <cfRule type="beginsWith" dxfId="78" priority="13" operator="beginsWith" text="Ok">
      <formula>LEFT(E75,LEN("Ok"))="Ok"</formula>
    </cfRule>
  </conditionalFormatting>
  <conditionalFormatting sqref="C43:E44">
    <cfRule type="expression" dxfId="77" priority="9">
      <formula>ISBLANK($B43)</formula>
    </cfRule>
  </conditionalFormatting>
  <conditionalFormatting sqref="C28">
    <cfRule type="expression" dxfId="76" priority="8">
      <formula>ISBLANK($B28)</formula>
    </cfRule>
  </conditionalFormatting>
  <conditionalFormatting sqref="C29">
    <cfRule type="expression" dxfId="75" priority="7">
      <formula>ISBLANK($B29)</formula>
    </cfRule>
  </conditionalFormatting>
  <conditionalFormatting sqref="C30">
    <cfRule type="expression" dxfId="74" priority="6">
      <formula>ISBLANK($B30)</formula>
    </cfRule>
  </conditionalFormatting>
  <conditionalFormatting sqref="H26:H27">
    <cfRule type="expression" dxfId="73" priority="5">
      <formula>ISBLANK($B26)</formula>
    </cfRule>
  </conditionalFormatting>
  <conditionalFormatting sqref="H28">
    <cfRule type="expression" dxfId="72" priority="4">
      <formula>ISBLANK($B28)</formula>
    </cfRule>
  </conditionalFormatting>
  <conditionalFormatting sqref="H29">
    <cfRule type="expression" dxfId="71" priority="3">
      <formula>ISBLANK($B29)</formula>
    </cfRule>
  </conditionalFormatting>
  <conditionalFormatting sqref="H30">
    <cfRule type="expression" dxfId="70" priority="2">
      <formula>ISBLANK($B30)</formula>
    </cfRule>
  </conditionalFormatting>
  <conditionalFormatting sqref="H19:J19">
    <cfRule type="expression" dxfId="69" priority="1">
      <formula>ISBLANK($B19)</formula>
    </cfRule>
  </conditionalFormatting>
  <dataValidations count="1">
    <dataValidation type="list" allowBlank="1" showInputMessage="1" showErrorMessage="1" sqref="E8 J16 E16 J64:J65 E11 E61:E67 E88 J88" xr:uid="{00000000-0002-0000-0800-000000000000}">
      <formula1>"Yes, 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CEAACC6EAA3A4594D7AE8916DBFFDB" ma:contentTypeVersion="6" ma:contentTypeDescription="Crea un document nou" ma:contentTypeScope="" ma:versionID="d56dd138a47437faa587ac96b89fa1be">
  <xsd:schema xmlns:xsd="http://www.w3.org/2001/XMLSchema" xmlns:xs="http://www.w3.org/2001/XMLSchema" xmlns:p="http://schemas.microsoft.com/office/2006/metadata/properties" xmlns:ns2="2cc65c86-8842-4aee-9643-e6b8d3bf5c88" xmlns:ns3="ab0c294e-a10a-42ab-86c7-9e50b6a06f5a" targetNamespace="http://schemas.microsoft.com/office/2006/metadata/properties" ma:root="true" ma:fieldsID="031208e18e4aeab4cc80f52c1acfdd93" ns2:_="" ns3:_="">
    <xsd:import namespace="2cc65c86-8842-4aee-9643-e6b8d3bf5c88"/>
    <xsd:import namespace="ab0c294e-a10a-42ab-86c7-9e50b6a06f5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65c86-8842-4aee-9643-e6b8d3bf5c88" elementFormDefault="qualified">
    <xsd:import namespace="http://schemas.microsoft.com/office/2006/documentManagement/types"/>
    <xsd:import namespace="http://schemas.microsoft.com/office/infopath/2007/PartnerControls"/>
    <xsd:element name="SharedWithUsers" ma:index="8"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 compartit amb detal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0c294e-a10a-42ab-86c7-9e50b6a06f5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4AF5C8-F518-4F8C-897E-EFEFD417F41C}">
  <ds:schemaRefs>
    <ds:schemaRef ds:uri="http://schemas.microsoft.com/sharepoint/v3/contenttype/forms"/>
  </ds:schemaRefs>
</ds:datastoreItem>
</file>

<file path=customXml/itemProps2.xml><?xml version="1.0" encoding="utf-8"?>
<ds:datastoreItem xmlns:ds="http://schemas.openxmlformats.org/officeDocument/2006/customXml" ds:itemID="{EB9C0DBA-E004-4AC2-B6BC-8A24E73A13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c65c86-8842-4aee-9643-e6b8d3bf5c88"/>
    <ds:schemaRef ds:uri="ab0c294e-a10a-42ab-86c7-9e50b6a06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0D4D07-E866-4376-A8E3-8AFDB2911A94}">
  <ds:schemaRefs>
    <ds:schemaRef ds:uri="http://schemas.microsoft.com/office/infopath/2007/PartnerControls"/>
    <ds:schemaRef ds:uri="http://purl.org/dc/terms/"/>
    <ds:schemaRef ds:uri="ab0c294e-a10a-42ab-86c7-9e50b6a06f5a"/>
    <ds:schemaRef ds:uri="http://purl.org/dc/dcmityp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2cc65c86-8842-4aee-9643-e6b8d3bf5c8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Confirmation</vt:lpstr>
      <vt:lpstr>Product formulation</vt:lpstr>
      <vt:lpstr>Ingoing substances</vt:lpstr>
      <vt:lpstr>Rinse-off - DID</vt:lpstr>
      <vt:lpstr>Leave-on - DID</vt:lpstr>
      <vt:lpstr>Results 1&amp;2</vt:lpstr>
      <vt:lpstr>Results 3</vt:lpstr>
      <vt:lpstr>Results 5 Rinse-off</vt:lpstr>
      <vt:lpstr>Results 5 Leave-on</vt:lpstr>
      <vt:lpstr>Results 6</vt:lpstr>
      <vt:lpstr>Declaration-Rinse-off products</vt:lpstr>
      <vt:lpstr>Declaration-Leave-on products</vt:lpstr>
      <vt:lpstr>DID-list_Part A</vt:lpstr>
      <vt:lpstr>DID-list_Part B</vt:lpstr>
      <vt:lpstr>Hoja2</vt:lpstr>
      <vt:lpstr>leave</vt:lpstr>
      <vt:lpstr>rinse</vt:lpstr>
      <vt:lpstr>Trade_name</vt:lpstr>
      <vt:lpstr>Weight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Rosa Riera</dc:creator>
  <cp:keywords/>
  <dc:description/>
  <cp:lastModifiedBy>Paula Ivanovaite</cp:lastModifiedBy>
  <cp:revision/>
  <dcterms:created xsi:type="dcterms:W3CDTF">2017-01-09T10:51:05Z</dcterms:created>
  <dcterms:modified xsi:type="dcterms:W3CDTF">2022-12-16T14:15:09Z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0x010100E6CEAACC6EAA3A4594D7AE8916DBFFDB</vt:lpwstr>
  </property>
</Properties>
</file>